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olderRedirect.hcad.domain\Redirect\0263052\Desktop\"/>
    </mc:Choice>
  </mc:AlternateContent>
  <bookViews>
    <workbookView xWindow="-6630" yWindow="450" windowWidth="25605" windowHeight="14040"/>
  </bookViews>
  <sheets>
    <sheet name="Tabulations" sheetId="1" r:id="rId1"/>
    <sheet name="Notes" sheetId="2" r:id="rId2"/>
    <sheet name="Sheet3" sheetId="3" r:id="rId3"/>
  </sheets>
  <definedNames>
    <definedName name="_xlnm.Print_Area" localSheetId="1">Notes!$A$1:$B$12</definedName>
    <definedName name="_xlnm.Print_Area" localSheetId="0">Tabulations!$A$11:$P$70</definedName>
    <definedName name="_xlnm.Print_Titles" localSheetId="0">Tabulations!$10:$11</definedName>
  </definedNames>
  <calcPr calcId="162913"/>
</workbook>
</file>

<file path=xl/calcChain.xml><?xml version="1.0" encoding="utf-8"?>
<calcChain xmlns="http://schemas.openxmlformats.org/spreadsheetml/2006/main">
  <c r="J44" i="1" l="1"/>
  <c r="J42" i="1"/>
  <c r="J20" i="1"/>
  <c r="J21" i="1"/>
  <c r="J23" i="1"/>
  <c r="J19" i="1"/>
  <c r="J26" i="1"/>
  <c r="J16" i="1"/>
  <c r="L16" i="1"/>
  <c r="K16" i="1"/>
  <c r="K44" i="1" l="1"/>
  <c r="I21" i="1" l="1"/>
  <c r="I20" i="1"/>
  <c r="I26" i="1"/>
  <c r="I17" i="1"/>
  <c r="I16" i="1"/>
  <c r="K22" i="1" l="1"/>
  <c r="K23" i="1"/>
  <c r="H19" i="1" l="1"/>
  <c r="I44" i="1" l="1"/>
  <c r="I19" i="1"/>
  <c r="I27" i="1" l="1"/>
  <c r="H33" i="1" l="1"/>
  <c r="K33" i="1" s="1"/>
  <c r="I25" i="1" l="1"/>
  <c r="H44" i="1" l="1"/>
  <c r="H18" i="1" l="1"/>
  <c r="K18" i="1" s="1"/>
  <c r="H20" i="1"/>
  <c r="H27" i="1"/>
  <c r="G27" i="1" l="1"/>
  <c r="H16" i="1" l="1"/>
  <c r="H17" i="1"/>
  <c r="H21" i="1"/>
  <c r="H25" i="1"/>
  <c r="H13" i="1"/>
  <c r="F13" i="1" l="1"/>
  <c r="K26" i="1" l="1"/>
  <c r="L26" i="1" s="1"/>
  <c r="I29" i="1" l="1"/>
  <c r="I35" i="1"/>
  <c r="K25" i="1"/>
  <c r="H41" i="1" l="1"/>
  <c r="L44" i="1" l="1"/>
  <c r="K41" i="1"/>
  <c r="L41" i="1" l="1"/>
  <c r="D18" i="1" l="1"/>
  <c r="H34" i="1" l="1"/>
  <c r="G34" i="1"/>
  <c r="K34" i="1" l="1"/>
  <c r="L34" i="1"/>
  <c r="H29" i="1" l="1"/>
  <c r="H35" i="1" s="1"/>
  <c r="G19" i="1" l="1"/>
  <c r="K19" i="1" s="1"/>
  <c r="G17" i="1"/>
  <c r="K17" i="1" s="1"/>
  <c r="G21" i="1"/>
  <c r="K21" i="1" s="1"/>
  <c r="G16" i="1"/>
  <c r="G15" i="1" l="1"/>
  <c r="G24" i="1" l="1"/>
  <c r="L21" i="1" l="1"/>
  <c r="L19" i="1"/>
  <c r="L18" i="1"/>
  <c r="L17" i="1"/>
  <c r="L15" i="1"/>
  <c r="L33" i="1"/>
  <c r="K15" i="1"/>
  <c r="L14" i="1"/>
  <c r="K14" i="1"/>
  <c r="G13" i="1" l="1"/>
  <c r="G31" i="1" l="1"/>
  <c r="K31" i="1" s="1"/>
  <c r="G32" i="1"/>
  <c r="K32" i="1" s="1"/>
  <c r="D29" i="1" l="1"/>
  <c r="G20" i="1" l="1"/>
  <c r="G29" i="1" s="1"/>
  <c r="G35" i="1" s="1"/>
  <c r="D31" i="1" l="1"/>
  <c r="L32" i="1" l="1"/>
  <c r="L31" i="1"/>
  <c r="F24" i="1"/>
  <c r="K24" i="1" s="1"/>
  <c r="L24" i="1" s="1"/>
  <c r="F27" i="1"/>
  <c r="K27" i="1" s="1"/>
  <c r="F20" i="1"/>
  <c r="K20" i="1" s="1"/>
  <c r="D35" i="1"/>
  <c r="L27" i="1" l="1"/>
  <c r="F29" i="1"/>
  <c r="F35" i="1" s="1"/>
  <c r="K13" i="1"/>
  <c r="L13" i="1"/>
  <c r="L20" i="1"/>
  <c r="D5" i="1" l="1"/>
  <c r="D9" i="1" s="1"/>
  <c r="L25" i="1" l="1"/>
  <c r="L29" i="1" s="1"/>
  <c r="L35" i="1" s="1"/>
  <c r="K29" i="1"/>
  <c r="K35" i="1" s="1"/>
</calcChain>
</file>

<file path=xl/comments1.xml><?xml version="1.0" encoding="utf-8"?>
<comments xmlns="http://schemas.openxmlformats.org/spreadsheetml/2006/main">
  <authors>
    <author>Dawn Henry</author>
  </authors>
  <commentList>
    <comment ref="P11" authorId="0" shapeId="0">
      <text>
        <r>
          <rPr>
            <b/>
            <sz val="8"/>
            <color indexed="81"/>
            <rFont val="Tahoma"/>
            <family val="2"/>
          </rPr>
          <t>Dawn Henry:</t>
        </r>
        <r>
          <rPr>
            <sz val="8"/>
            <color indexed="81"/>
            <rFont val="Tahoma"/>
            <family val="2"/>
          </rPr>
          <t xml:space="preserve">
Working draft for the May 1 Board Mtg.
Exhibit G - to Board May 1 (4/16/18)</t>
        </r>
      </text>
    </comment>
    <comment ref="S13" authorId="0" shapeId="0">
      <text>
        <r>
          <rPr>
            <b/>
            <sz val="8"/>
            <color indexed="81"/>
            <rFont val="Tahoma"/>
            <family val="2"/>
          </rPr>
          <t>Dawn Henry:</t>
        </r>
        <r>
          <rPr>
            <sz val="8"/>
            <color indexed="81"/>
            <rFont val="Tahoma"/>
            <family val="2"/>
          </rPr>
          <t xml:space="preserve">
Swing spce figure in F13 are current expenses for swing space.  $$ to cover taken from surplus in gkk master planning budget. Figure O15 is actual remaining bal of master planning</t>
        </r>
      </text>
    </comment>
  </commentList>
</comments>
</file>

<file path=xl/sharedStrings.xml><?xml version="1.0" encoding="utf-8"?>
<sst xmlns="http://schemas.openxmlformats.org/spreadsheetml/2006/main" count="142" uniqueCount="109">
  <si>
    <t>Received from bond Refunding</t>
  </si>
  <si>
    <t>Total bond sales to date</t>
  </si>
  <si>
    <t>Interest Received</t>
  </si>
  <si>
    <t>Net gain (loss) in funds held by Mo Co Treasurer</t>
  </si>
  <si>
    <t>Project Titles</t>
  </si>
  <si>
    <t>(All numbers rounded to nearest whole dollars)</t>
  </si>
  <si>
    <t>Notes</t>
  </si>
  <si>
    <t>Note</t>
  </si>
  <si>
    <t>#</t>
  </si>
  <si>
    <t>FUNDING SOURCES - MEASURE T</t>
  </si>
  <si>
    <t xml:space="preserve">TOTAL FUNDS FROM MEASURE T </t>
  </si>
  <si>
    <t>*</t>
  </si>
  <si>
    <t>inspection, etc., as most recently adjusted, which will be paid for out of Measure T Funds,</t>
  </si>
  <si>
    <t>Project Number</t>
  </si>
  <si>
    <t>Series</t>
  </si>
  <si>
    <t>Project Budget</t>
  </si>
  <si>
    <t>Project Balance</t>
  </si>
  <si>
    <t>Series A</t>
  </si>
  <si>
    <t xml:space="preserve">Totals </t>
  </si>
  <si>
    <t>880000-01</t>
  </si>
  <si>
    <t>880100-01</t>
  </si>
  <si>
    <t>880200-01</t>
  </si>
  <si>
    <t>880300-01</t>
  </si>
  <si>
    <t>880400-01</t>
  </si>
  <si>
    <t>880500-01</t>
  </si>
  <si>
    <t>A</t>
  </si>
  <si>
    <t>880700-01</t>
  </si>
  <si>
    <t>Cost of Issuance</t>
  </si>
  <si>
    <t>Net Bond Proceeds</t>
  </si>
  <si>
    <t>Soledad Education Center</t>
  </si>
  <si>
    <t>King City Education Center Expansion</t>
  </si>
  <si>
    <t>880800-01</t>
  </si>
  <si>
    <t>881100-01</t>
  </si>
  <si>
    <t>Includes all anticipated cost, including but not limmited to design, DSA, construction, contingencies, testing/</t>
  </si>
  <si>
    <t>Main Campus Nursing and Health Science</t>
  </si>
  <si>
    <t>Master Planning for Measure T</t>
  </si>
  <si>
    <t>Main Campus Building H Roof Replacement</t>
  </si>
  <si>
    <t>Main Campus Building K Roof Replacement</t>
  </si>
  <si>
    <t>Replace Phone System</t>
  </si>
  <si>
    <t>Main Campus Buildings D &amp; E Renovation</t>
  </si>
  <si>
    <t>Series B and C (future issuances)</t>
  </si>
  <si>
    <t>Partner with high schools to improve science classrooms/labs</t>
  </si>
  <si>
    <t>Alisal Campus Additional Classrooms/Labs</t>
  </si>
  <si>
    <t>Main Campus Building N Renovation</t>
  </si>
  <si>
    <t>Main Campus Buildings F, G, H Renovation</t>
  </si>
  <si>
    <t>Main Campus Building K Renovation</t>
  </si>
  <si>
    <t>Main Campus Building J Renovation</t>
  </si>
  <si>
    <t>Note: Project budgets are estimates and will not be final until projects are bid and contracts awarded.</t>
  </si>
  <si>
    <t>County Election costs for November 2016 ballot</t>
  </si>
  <si>
    <t>invoices for phones - one for implementation work ($3217.00) and the second for voice over work for system messages ($720)</t>
  </si>
  <si>
    <t xml:space="preserve">11/30/17: Expenses - Draws 1 and 2 for each Building H($355,808.90 + $53,863.23) and K($227,849.58 &amp;$189.810.30) and 2 </t>
  </si>
  <si>
    <t>12/9/17: Lozano Smith legal invoice ($11,753) for review, document production of contracts for Design/Build mode of delivery; $203,986.07 total expenditures to date for phone system too Communication Strategies and Extelesis Corp - included on this update at completion of transfer from Fund 41 (used prior to sale of bonds and Fund46 set up)</t>
  </si>
  <si>
    <t>Series B Projects Paid with Series A-To Be Reimbursed</t>
  </si>
  <si>
    <t>Property Acquistion-Castroville</t>
  </si>
  <si>
    <t>B</t>
  </si>
  <si>
    <t>801/659</t>
  </si>
  <si>
    <t>Project Salary/Benefits/Gen'l Ops/Legal</t>
  </si>
  <si>
    <t>3/27/18: The Californian Notice to Bidder - publication for PAR project $999.42</t>
  </si>
  <si>
    <t>Minor Renovation of Building N for Relocation of Respiratory Care and EMT Programs/Swing Space</t>
  </si>
  <si>
    <t xml:space="preserve">Solar Panel Relocation </t>
  </si>
  <si>
    <t>Main Campus Bldg K - Ticket Booth/Lobby reno</t>
  </si>
  <si>
    <t>4/27/18: $15000 for swing work vendors deducted from balance of Master Planning budget balance is now 266,544</t>
  </si>
  <si>
    <t>Expenses  16/17</t>
  </si>
  <si>
    <t>Expenses 17/18</t>
  </si>
  <si>
    <t>Expenses 18/19</t>
  </si>
  <si>
    <t>Total Bond Expenses</t>
  </si>
  <si>
    <t>24,000 PGE +</t>
  </si>
  <si>
    <t>8/9/18: $24,000 received from PG&amp;E for Construction Lease of Temblardara St property</t>
  </si>
  <si>
    <t>Completed</t>
  </si>
  <si>
    <t>881100-56400</t>
  </si>
  <si>
    <t>Phone system 2018-19</t>
  </si>
  <si>
    <t>9/27/18: $26,700 deducted from Master Planning budget balance - Now $227,619 for gkk addt'l structure and CGS survey</t>
  </si>
  <si>
    <t>C</t>
  </si>
  <si>
    <t>880700-03</t>
  </si>
  <si>
    <t>Main Campus Building B 2nd Flr Renovation</t>
  </si>
  <si>
    <t>Expenses 19/20</t>
  </si>
  <si>
    <t>Refresh Internet System</t>
  </si>
  <si>
    <t>881100-56226</t>
  </si>
  <si>
    <t xml:space="preserve">Nursing project orig. projection of $560,000 now $621,945 due to </t>
  </si>
  <si>
    <t>steel costs escalating. (6/2018)</t>
  </si>
  <si>
    <r>
      <t>*,</t>
    </r>
    <r>
      <rPr>
        <b/>
        <sz val="11"/>
        <color theme="0"/>
        <rFont val="Calibri"/>
        <family val="2"/>
        <scheme val="minor"/>
      </rPr>
      <t>2.</t>
    </r>
  </si>
  <si>
    <t xml:space="preserve"> individual project.  On spreadsheet they are pulled together in one line item. (2/2018)</t>
  </si>
  <si>
    <r>
      <rPr>
        <sz val="12"/>
        <color theme="0"/>
        <rFont val="Calibri"/>
        <family val="2"/>
        <scheme val="minor"/>
      </rPr>
      <t>*</t>
    </r>
    <r>
      <rPr>
        <sz val="11"/>
        <color theme="0"/>
        <rFont val="Calibri"/>
        <family val="2"/>
        <scheme val="minor"/>
      </rPr>
      <t>, 4</t>
    </r>
  </si>
  <si>
    <t xml:space="preserve"> CO#1  $16,647.40 (6/2018)</t>
  </si>
  <si>
    <r>
      <rPr>
        <sz val="14"/>
        <color theme="0"/>
        <rFont val="Calibri"/>
        <family val="2"/>
        <scheme val="minor"/>
      </rPr>
      <t xml:space="preserve">*, </t>
    </r>
    <r>
      <rPr>
        <b/>
        <sz val="11"/>
        <color theme="0"/>
        <rFont val="Calibri"/>
        <family val="2"/>
        <scheme val="minor"/>
      </rPr>
      <t xml:space="preserve">2. </t>
    </r>
    <r>
      <rPr>
        <sz val="11"/>
        <color theme="0"/>
        <rFont val="Calibri"/>
        <family val="2"/>
        <scheme val="minor"/>
      </rPr>
      <t xml:space="preserve">Row 18 break out of the Solar relocation </t>
    </r>
  </si>
  <si>
    <t xml:space="preserve">portion of the Nursing building.  This sub-portion of the </t>
  </si>
  <si>
    <r>
      <rPr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Includes ALL anticipated costs, including but not limited to design, DSA, construction,  contingencies, testing/inspection, etc., as most recently adjusted, which will be paid for out of Measure T Funds.</t>
    </r>
  </si>
  <si>
    <t xml:space="preserve">to produce FPP for submission to Chancellors office for possible matching funds Fund 44 </t>
  </si>
  <si>
    <t xml:space="preserve"> LTD Haz Mat rpt $13,045 for FPP/Series C - completed early (Apr/May 2019) Fund 46</t>
  </si>
  <si>
    <t>Budget w/Contractor contract</t>
  </si>
  <si>
    <t>Parking - angleStriping</t>
  </si>
  <si>
    <t>1. Row 26 - Admin costs are allocated to each</t>
  </si>
  <si>
    <t xml:space="preserve"> 3. Row 30 Orig budget $888,226 increased due to</t>
  </si>
  <si>
    <r>
      <rPr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, 4. Row 33 Figure includes not incl. NTBid The Californian  $999.00 Fund 44 (6/2018)</t>
    </r>
  </si>
  <si>
    <t xml:space="preserve">5. Row 41 $60,120  HGHB, Facilities Planning &amp; Consulting Services &amp; M3 </t>
  </si>
  <si>
    <t>6. Row 44 To date architect fees for re-design of second floor (4/2019)</t>
  </si>
  <si>
    <t>11/8/19: PM salaries -2018-19=370317.23; 2017-18=160706.60 total to date:531023.83</t>
  </si>
  <si>
    <t xml:space="preserve"> </t>
  </si>
  <si>
    <t>Castroville Education Center</t>
  </si>
  <si>
    <t>Solar (architect)</t>
  </si>
  <si>
    <t>Expenses 20/21</t>
  </si>
  <si>
    <t>880800-02</t>
  </si>
  <si>
    <t>880900-02</t>
  </si>
  <si>
    <t>880600-02</t>
  </si>
  <si>
    <t>880950-03</t>
  </si>
  <si>
    <t>PE Field</t>
  </si>
  <si>
    <t>880750-02</t>
  </si>
  <si>
    <t>880250-02</t>
  </si>
  <si>
    <t>60678.71+36284.70+61090.34+18320.60+458084.54+607586.10+17000+17000+13113.32+7440+6720+418.75+431.25+375+468.75+187.50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</si>
</sst>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Gill San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5">
    <xf numFmtId="0" fontId="0" fillId="0" borderId="0" xfId="0"/>
    <xf numFmtId="9" fontId="0" fillId="0" borderId="0" xfId="0" applyNumberFormat="1"/>
    <xf numFmtId="0" fontId="0" fillId="4" borderId="0" xfId="0" applyFill="1"/>
    <xf numFmtId="9" fontId="0" fillId="4" borderId="0" xfId="0" applyNumberFormat="1" applyFill="1"/>
    <xf numFmtId="0" fontId="0" fillId="4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 applyAlignment="1">
      <alignment horizontal="center" textRotation="90" wrapText="1"/>
    </xf>
    <xf numFmtId="0" fontId="0" fillId="0" borderId="5" xfId="0" applyBorder="1" applyAlignment="1">
      <alignment horizontal="center" wrapText="1"/>
    </xf>
    <xf numFmtId="0" fontId="4" fillId="4" borderId="6" xfId="0" applyFont="1" applyFill="1" applyBorder="1" applyAlignment="1">
      <alignment horizontal="left"/>
    </xf>
    <xf numFmtId="5" fontId="0" fillId="0" borderId="0" xfId="0" applyNumberFormat="1"/>
    <xf numFmtId="9" fontId="0" fillId="4" borderId="7" xfId="0" applyNumberFormat="1" applyFill="1" applyBorder="1" applyAlignment="1">
      <alignment horizontal="center" textRotation="90" wrapText="1"/>
    </xf>
    <xf numFmtId="9" fontId="0" fillId="4" borderId="9" xfId="0" applyNumberFormat="1" applyFill="1" applyBorder="1"/>
    <xf numFmtId="5" fontId="0" fillId="0" borderId="5" xfId="0" applyNumberFormat="1" applyBorder="1" applyAlignment="1">
      <alignment horizontal="center" wrapText="1"/>
    </xf>
    <xf numFmtId="9" fontId="0" fillId="0" borderId="10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4" borderId="7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4" borderId="13" xfId="0" applyFill="1" applyBorder="1"/>
    <xf numFmtId="9" fontId="0" fillId="4" borderId="10" xfId="0" applyNumberFormat="1" applyFill="1" applyBorder="1"/>
    <xf numFmtId="9" fontId="0" fillId="4" borderId="0" xfId="0" applyNumberFormat="1" applyFill="1" applyBorder="1"/>
    <xf numFmtId="9" fontId="0" fillId="4" borderId="4" xfId="0" applyNumberFormat="1" applyFill="1" applyBorder="1"/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 wrapText="1"/>
    </xf>
    <xf numFmtId="164" fontId="0" fillId="4" borderId="5" xfId="1" applyNumberFormat="1" applyFont="1" applyFill="1" applyBorder="1" applyAlignment="1">
      <alignment horizontal="center" textRotation="90" wrapText="1"/>
    </xf>
    <xf numFmtId="0" fontId="4" fillId="4" borderId="1" xfId="0" applyFont="1" applyFill="1" applyBorder="1" applyAlignment="1">
      <alignment horizontal="left"/>
    </xf>
    <xf numFmtId="0" fontId="0" fillId="4" borderId="0" xfId="0" applyFill="1" applyBorder="1" applyAlignment="1">
      <alignment horizontal="right"/>
    </xf>
    <xf numFmtId="44" fontId="0" fillId="4" borderId="0" xfId="2" applyFont="1" applyFill="1" applyBorder="1"/>
    <xf numFmtId="164" fontId="0" fillId="4" borderId="0" xfId="1" applyNumberFormat="1" applyFont="1" applyFill="1" applyBorder="1" applyAlignment="1">
      <alignment horizontal="center" textRotation="90" wrapText="1"/>
    </xf>
    <xf numFmtId="0" fontId="0" fillId="4" borderId="0" xfId="0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4" fontId="0" fillId="4" borderId="0" xfId="2" applyFont="1" applyFill="1"/>
    <xf numFmtId="44" fontId="4" fillId="4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4" borderId="0" xfId="2" applyFont="1" applyFill="1" applyBorder="1" applyAlignment="1">
      <alignment horizontal="center" textRotation="90" wrapText="1"/>
    </xf>
    <xf numFmtId="44" fontId="0" fillId="0" borderId="0" xfId="2" applyFont="1" applyFill="1" applyBorder="1" applyProtection="1">
      <protection locked="0"/>
    </xf>
    <xf numFmtId="44" fontId="0" fillId="0" borderId="0" xfId="2" applyFont="1"/>
    <xf numFmtId="44" fontId="0" fillId="0" borderId="0" xfId="0" applyNumberFormat="1" applyFill="1" applyBorder="1" applyProtection="1">
      <protection locked="0"/>
    </xf>
    <xf numFmtId="0" fontId="5" fillId="2" borderId="0" xfId="0" applyNumberFormat="1" applyFont="1" applyFill="1" applyBorder="1" applyAlignment="1">
      <alignment horizontal="center" vertical="top"/>
    </xf>
    <xf numFmtId="44" fontId="5" fillId="2" borderId="0" xfId="2" applyFont="1" applyFill="1" applyBorder="1" applyAlignment="1">
      <alignment horizontal="left" vertical="top"/>
    </xf>
    <xf numFmtId="0" fontId="5" fillId="2" borderId="0" xfId="0" applyNumberFormat="1" applyFont="1" applyFill="1" applyBorder="1" applyAlignment="1">
      <alignment horizontal="left" vertical="top"/>
    </xf>
    <xf numFmtId="9" fontId="0" fillId="0" borderId="0" xfId="0" applyNumberForma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44" fontId="0" fillId="0" borderId="14" xfId="0" applyNumberFormat="1" applyFill="1" applyBorder="1" applyProtection="1">
      <protection locked="0"/>
    </xf>
    <xf numFmtId="44" fontId="0" fillId="0" borderId="0" xfId="2" applyFont="1" applyFill="1" applyBorder="1"/>
    <xf numFmtId="0" fontId="7" fillId="0" borderId="8" xfId="0" applyFont="1" applyFill="1" applyBorder="1" applyProtection="1">
      <protection locked="0"/>
    </xf>
    <xf numFmtId="44" fontId="0" fillId="0" borderId="0" xfId="0" applyNumberFormat="1"/>
    <xf numFmtId="44" fontId="6" fillId="0" borderId="0" xfId="0" applyNumberFormat="1" applyFont="1"/>
    <xf numFmtId="0" fontId="0" fillId="4" borderId="0" xfId="0" applyFill="1" applyAlignment="1">
      <alignment wrapText="1"/>
    </xf>
    <xf numFmtId="42" fontId="0" fillId="0" borderId="0" xfId="2" applyNumberFormat="1" applyFont="1" applyFill="1" applyBorder="1" applyProtection="1">
      <protection locked="0"/>
    </xf>
    <xf numFmtId="42" fontId="0" fillId="0" borderId="0" xfId="0" applyNumberFormat="1" applyFill="1" applyBorder="1" applyProtection="1">
      <protection locked="0"/>
    </xf>
    <xf numFmtId="42" fontId="0" fillId="0" borderId="0" xfId="2" applyNumberFormat="1" applyFont="1"/>
    <xf numFmtId="0" fontId="0" fillId="4" borderId="0" xfId="0" applyFill="1"/>
    <xf numFmtId="0" fontId="0" fillId="0" borderId="8" xfId="0" applyFill="1" applyBorder="1" applyProtection="1">
      <protection locked="0"/>
    </xf>
    <xf numFmtId="9" fontId="0" fillId="4" borderId="0" xfId="0" applyNumberFormat="1" applyFont="1" applyFill="1" applyBorder="1"/>
    <xf numFmtId="44" fontId="0" fillId="4" borderId="0" xfId="2" applyFont="1" applyFill="1"/>
    <xf numFmtId="0" fontId="0" fillId="0" borderId="8" xfId="0" applyFill="1" applyBorder="1" applyAlignment="1" applyProtection="1">
      <alignment wrapText="1"/>
      <protection locked="0"/>
    </xf>
    <xf numFmtId="0" fontId="0" fillId="4" borderId="8" xfId="0" applyFill="1" applyBorder="1" applyAlignment="1">
      <alignment horizontal="left" vertical="top" wrapText="1"/>
    </xf>
    <xf numFmtId="49" fontId="0" fillId="3" borderId="15" xfId="0" applyNumberFormat="1" applyFill="1" applyBorder="1" applyAlignment="1" applyProtection="1">
      <alignment horizontal="center"/>
      <protection locked="0"/>
    </xf>
    <xf numFmtId="42" fontId="0" fillId="3" borderId="15" xfId="2" applyNumberFormat="1" applyFont="1" applyFill="1" applyBorder="1" applyProtection="1">
      <protection locked="0"/>
    </xf>
    <xf numFmtId="42" fontId="0" fillId="3" borderId="15" xfId="0" applyNumberFormat="1" applyFill="1" applyBorder="1" applyProtection="1">
      <protection locked="0"/>
    </xf>
    <xf numFmtId="44" fontId="0" fillId="0" borderId="15" xfId="0" applyNumberFormat="1" applyFill="1" applyBorder="1" applyProtection="1">
      <protection locked="0"/>
    </xf>
    <xf numFmtId="9" fontId="0" fillId="0" borderId="15" xfId="0" applyNumberFormat="1" applyFill="1" applyBorder="1" applyProtection="1">
      <protection locked="0"/>
    </xf>
    <xf numFmtId="0" fontId="0" fillId="0" borderId="15" xfId="0" applyFill="1" applyBorder="1" applyAlignment="1" applyProtection="1">
      <alignment horizontal="center"/>
      <protection locked="0"/>
    </xf>
    <xf numFmtId="49" fontId="0" fillId="0" borderId="15" xfId="0" applyNumberFormat="1" applyFill="1" applyBorder="1" applyAlignment="1" applyProtection="1">
      <alignment horizontal="center"/>
      <protection locked="0"/>
    </xf>
    <xf numFmtId="42" fontId="0" fillId="0" borderId="15" xfId="2" applyNumberFormat="1" applyFont="1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7" fillId="3" borderId="16" xfId="0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44" fontId="8" fillId="0" borderId="0" xfId="2" applyFont="1" applyFill="1" applyBorder="1" applyProtection="1">
      <protection locked="0"/>
    </xf>
    <xf numFmtId="6" fontId="0" fillId="0" borderId="0" xfId="2" applyNumberFormat="1" applyFont="1" applyFill="1" applyBorder="1" applyProtection="1">
      <protection locked="0"/>
    </xf>
    <xf numFmtId="42" fontId="2" fillId="0" borderId="0" xfId="2" applyNumberFormat="1" applyFont="1" applyFill="1" applyBorder="1" applyProtection="1">
      <protection locked="0"/>
    </xf>
    <xf numFmtId="42" fontId="0" fillId="0" borderId="18" xfId="2" applyNumberFormat="1" applyFont="1" applyFill="1" applyBorder="1" applyProtection="1">
      <protection locked="0"/>
    </xf>
    <xf numFmtId="165" fontId="0" fillId="0" borderId="0" xfId="2" applyNumberFormat="1" applyFont="1"/>
    <xf numFmtId="0" fontId="9" fillId="0" borderId="8" xfId="0" applyFont="1" applyFill="1" applyBorder="1" applyProtection="1">
      <protection locked="0"/>
    </xf>
    <xf numFmtId="13" fontId="0" fillId="0" borderId="0" xfId="0" applyNumberFormat="1"/>
    <xf numFmtId="42" fontId="0" fillId="0" borderId="0" xfId="0" applyNumberFormat="1"/>
    <xf numFmtId="44" fontId="0" fillId="3" borderId="0" xfId="2" applyFont="1" applyFill="1"/>
    <xf numFmtId="42" fontId="2" fillId="3" borderId="15" xfId="2" applyNumberFormat="1" applyFont="1" applyFill="1" applyBorder="1" applyProtection="1">
      <protection locked="0"/>
    </xf>
    <xf numFmtId="42" fontId="3" fillId="3" borderId="15" xfId="2" applyNumberFormat="1" applyFont="1" applyFill="1" applyBorder="1" applyProtection="1">
      <protection locked="0"/>
    </xf>
    <xf numFmtId="0" fontId="7" fillId="0" borderId="8" xfId="0" applyFont="1" applyFill="1" applyBorder="1" applyAlignment="1" applyProtection="1">
      <alignment horizontal="right"/>
      <protection locked="0"/>
    </xf>
    <xf numFmtId="8" fontId="0" fillId="4" borderId="0" xfId="0" applyNumberFormat="1" applyFill="1" applyAlignment="1">
      <alignment horizontal="left"/>
    </xf>
    <xf numFmtId="0" fontId="0" fillId="0" borderId="19" xfId="0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0" borderId="21" xfId="0" applyBorder="1"/>
    <xf numFmtId="42" fontId="2" fillId="0" borderId="0" xfId="2" applyNumberFormat="1" applyFont="1"/>
    <xf numFmtId="42" fontId="0" fillId="3" borderId="22" xfId="2" applyNumberFormat="1" applyFont="1" applyFill="1" applyBorder="1" applyProtection="1">
      <protection locked="0"/>
    </xf>
    <xf numFmtId="42" fontId="2" fillId="3" borderId="22" xfId="2" applyNumberFormat="1" applyFont="1" applyFill="1" applyBorder="1" applyProtection="1">
      <protection locked="0"/>
    </xf>
    <xf numFmtId="42" fontId="2" fillId="3" borderId="17" xfId="2" applyNumberFormat="1" applyFont="1" applyFill="1" applyBorder="1" applyProtection="1">
      <protection locked="0"/>
    </xf>
    <xf numFmtId="42" fontId="3" fillId="3" borderId="0" xfId="2" applyNumberFormat="1" applyFont="1" applyFill="1" applyBorder="1" applyProtection="1">
      <protection locked="0"/>
    </xf>
    <xf numFmtId="42" fontId="0" fillId="3" borderId="0" xfId="2" applyNumberFormat="1" applyFont="1" applyFill="1" applyBorder="1" applyProtection="1">
      <protection locked="0"/>
    </xf>
    <xf numFmtId="42" fontId="0" fillId="3" borderId="0" xfId="0" applyNumberFormat="1" applyFill="1" applyBorder="1" applyProtection="1">
      <protection locked="0"/>
    </xf>
    <xf numFmtId="42" fontId="0" fillId="3" borderId="23" xfId="2" applyNumberFormat="1" applyFont="1" applyFill="1" applyBorder="1" applyProtection="1">
      <protection locked="0"/>
    </xf>
    <xf numFmtId="49" fontId="0" fillId="0" borderId="22" xfId="0" applyNumberFormat="1" applyFill="1" applyBorder="1" applyAlignment="1" applyProtection="1">
      <alignment horizontal="center"/>
      <protection locked="0"/>
    </xf>
    <xf numFmtId="42" fontId="0" fillId="0" borderId="22" xfId="2" applyNumberFormat="1" applyFont="1" applyFill="1" applyBorder="1" applyProtection="1">
      <protection locked="0"/>
    </xf>
    <xf numFmtId="49" fontId="0" fillId="0" borderId="24" xfId="0" applyNumberFormat="1" applyFill="1" applyBorder="1" applyAlignment="1" applyProtection="1">
      <alignment horizontal="center"/>
      <protection locked="0"/>
    </xf>
    <xf numFmtId="42" fontId="0" fillId="0" borderId="24" xfId="2" applyNumberFormat="1" applyFont="1" applyFill="1" applyBorder="1" applyProtection="1">
      <protection locked="0"/>
    </xf>
    <xf numFmtId="49" fontId="0" fillId="0" borderId="25" xfId="0" applyNumberFormat="1" applyFill="1" applyBorder="1" applyAlignment="1" applyProtection="1">
      <alignment horizontal="center"/>
      <protection locked="0"/>
    </xf>
    <xf numFmtId="42" fontId="0" fillId="0" borderId="25" xfId="2" applyNumberFormat="1" applyFont="1" applyFill="1" applyBorder="1" applyProtection="1">
      <protection locked="0"/>
    </xf>
    <xf numFmtId="42" fontId="12" fillId="3" borderId="15" xfId="2" applyNumberFormat="1" applyFont="1" applyFill="1" applyBorder="1" applyProtection="1">
      <protection locked="0"/>
    </xf>
    <xf numFmtId="42" fontId="7" fillId="3" borderId="15" xfId="0" applyNumberFormat="1" applyFont="1" applyFill="1" applyBorder="1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14" fillId="6" borderId="0" xfId="0" applyFont="1" applyFill="1" applyBorder="1"/>
    <xf numFmtId="0" fontId="14" fillId="5" borderId="0" xfId="0" applyFont="1" applyFill="1"/>
    <xf numFmtId="0" fontId="0" fillId="8" borderId="0" xfId="0" applyFill="1" applyAlignment="1" applyProtection="1">
      <alignment horizontal="center"/>
      <protection locked="0"/>
    </xf>
    <xf numFmtId="0" fontId="14" fillId="9" borderId="0" xfId="0" applyFont="1" applyFill="1" applyAlignment="1" applyProtection="1">
      <alignment horizontal="center"/>
      <protection locked="0"/>
    </xf>
    <xf numFmtId="0" fontId="14" fillId="9" borderId="0" xfId="0" applyFont="1" applyFill="1"/>
    <xf numFmtId="0" fontId="14" fillId="7" borderId="0" xfId="0" applyFont="1" applyFill="1" applyAlignment="1" applyProtection="1">
      <alignment horizontal="center"/>
      <protection locked="0"/>
    </xf>
    <xf numFmtId="0" fontId="0" fillId="7" borderId="0" xfId="0" applyFill="1"/>
    <xf numFmtId="0" fontId="0" fillId="10" borderId="0" xfId="0" applyFont="1" applyFill="1" applyAlignment="1" applyProtection="1">
      <alignment horizontal="center"/>
      <protection locked="0"/>
    </xf>
    <xf numFmtId="0" fontId="0" fillId="10" borderId="0" xfId="0" applyFill="1"/>
    <xf numFmtId="0" fontId="0" fillId="4" borderId="0" xfId="0" applyFont="1" applyFill="1" applyAlignment="1">
      <alignment horizontal="center"/>
    </xf>
    <xf numFmtId="6" fontId="0" fillId="4" borderId="0" xfId="0" applyNumberFormat="1" applyFill="1" applyAlignment="1">
      <alignment horizontal="left"/>
    </xf>
    <xf numFmtId="0" fontId="0" fillId="8" borderId="0" xfId="0" applyFill="1"/>
    <xf numFmtId="4" fontId="0" fillId="10" borderId="0" xfId="0" applyNumberFormat="1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42" fontId="0" fillId="0" borderId="26" xfId="2" applyNumberFormat="1" applyFont="1" applyFill="1" applyBorder="1" applyProtection="1">
      <protection locked="0"/>
    </xf>
    <xf numFmtId="42" fontId="2" fillId="3" borderId="27" xfId="2" applyNumberFormat="1" applyFont="1" applyFill="1" applyBorder="1" applyProtection="1">
      <protection locked="0"/>
    </xf>
    <xf numFmtId="42" fontId="0" fillId="3" borderId="17" xfId="2" applyNumberFormat="1" applyFont="1" applyFill="1" applyBorder="1" applyProtection="1">
      <protection locked="0"/>
    </xf>
    <xf numFmtId="42" fontId="3" fillId="3" borderId="22" xfId="2" applyNumberFormat="1" applyFont="1" applyFill="1" applyBorder="1" applyProtection="1">
      <protection locked="0"/>
    </xf>
    <xf numFmtId="8" fontId="3" fillId="3" borderId="25" xfId="2" applyNumberFormat="1" applyFont="1" applyFill="1" applyBorder="1" applyProtection="1">
      <protection locked="0"/>
    </xf>
    <xf numFmtId="44" fontId="0" fillId="0" borderId="15" xfId="2" applyFont="1" applyBorder="1"/>
    <xf numFmtId="0" fontId="0" fillId="4" borderId="12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Zeros="0" tabSelected="1" topLeftCell="A25" zoomScale="84" zoomScaleNormal="84" zoomScaleSheetLayoutView="100" workbookViewId="0">
      <selection activeCell="J45" sqref="J45"/>
    </sheetView>
  </sheetViews>
  <sheetFormatPr defaultColWidth="8.85546875" defaultRowHeight="15"/>
  <cols>
    <col min="1" max="1" width="44.7109375" customWidth="1"/>
    <col min="2" max="2" width="13" style="45" bestFit="1" customWidth="1"/>
    <col min="3" max="3" width="4.42578125" style="45" customWidth="1"/>
    <col min="4" max="5" width="16.140625" style="51" customWidth="1"/>
    <col min="6" max="8" width="12.7109375" style="51" customWidth="1"/>
    <col min="9" max="9" width="15.28515625" style="51" customWidth="1"/>
    <col min="10" max="10" width="12.42578125" style="51" customWidth="1"/>
    <col min="11" max="11" width="12.7109375" style="51" customWidth="1"/>
    <col min="12" max="12" width="16.140625" customWidth="1"/>
    <col min="13" max="13" width="15.28515625" hidden="1" customWidth="1"/>
    <col min="14" max="14" width="8.7109375" style="1" hidden="1" customWidth="1"/>
    <col min="15" max="15" width="6" customWidth="1"/>
    <col min="16" max="16" width="11.85546875" customWidth="1"/>
    <col min="17" max="17" width="12" style="12" customWidth="1"/>
    <col min="18" max="18" width="12.85546875" style="12" customWidth="1"/>
    <col min="19" max="19" width="12.7109375" style="12" bestFit="1" customWidth="1"/>
  </cols>
  <sheetData>
    <row r="1" spans="1:19" ht="15.75" thickBot="1">
      <c r="A1" s="2" t="s">
        <v>5</v>
      </c>
      <c r="B1" s="40"/>
      <c r="C1" s="40"/>
      <c r="D1" s="46"/>
      <c r="E1" s="70"/>
      <c r="F1" s="70"/>
      <c r="G1" s="70"/>
      <c r="H1" s="70"/>
      <c r="I1" s="70"/>
      <c r="J1" s="70"/>
      <c r="K1" s="70"/>
      <c r="L1" s="67"/>
      <c r="M1" s="67"/>
      <c r="N1" s="69"/>
      <c r="O1" s="67"/>
    </row>
    <row r="2" spans="1:19">
      <c r="A2" s="11" t="s">
        <v>9</v>
      </c>
      <c r="B2" s="41"/>
      <c r="C2" s="41"/>
      <c r="D2" s="47"/>
      <c r="E2" s="47"/>
      <c r="F2" s="47"/>
      <c r="G2" s="47"/>
      <c r="H2" s="47"/>
      <c r="I2" s="47"/>
      <c r="J2" s="47"/>
      <c r="K2" s="47"/>
      <c r="L2" s="36"/>
      <c r="M2" s="36"/>
      <c r="N2" s="30"/>
      <c r="O2" s="2"/>
    </row>
    <row r="3" spans="1:19">
      <c r="A3" s="6" t="s">
        <v>1</v>
      </c>
      <c r="B3" s="42"/>
      <c r="C3" s="42"/>
      <c r="D3" s="38">
        <v>70000000</v>
      </c>
      <c r="E3" s="38"/>
      <c r="F3" s="38"/>
      <c r="G3" s="38"/>
      <c r="H3" s="38"/>
      <c r="I3" s="38"/>
      <c r="J3" s="38"/>
      <c r="K3" s="38"/>
      <c r="L3" s="4"/>
      <c r="M3" s="38"/>
      <c r="N3" s="30"/>
      <c r="O3" s="2"/>
    </row>
    <row r="4" spans="1:19">
      <c r="A4" s="6" t="s">
        <v>27</v>
      </c>
      <c r="B4" s="42"/>
      <c r="C4" s="42"/>
      <c r="D4" s="38">
        <v>-285000</v>
      </c>
      <c r="E4" s="38"/>
      <c r="F4" s="38"/>
      <c r="G4" s="38"/>
      <c r="H4" s="38"/>
      <c r="I4" s="38"/>
      <c r="J4" s="38"/>
      <c r="K4" s="38"/>
      <c r="L4" s="4"/>
      <c r="M4" s="38"/>
      <c r="N4" s="30"/>
      <c r="O4" s="2"/>
    </row>
    <row r="5" spans="1:19">
      <c r="A5" s="6" t="s">
        <v>28</v>
      </c>
      <c r="B5" s="42"/>
      <c r="C5" s="42"/>
      <c r="D5" s="38">
        <f>SUM(D3:D4)</f>
        <v>69715000</v>
      </c>
      <c r="E5" s="38"/>
      <c r="F5" s="38"/>
      <c r="G5" s="38"/>
      <c r="H5" s="38"/>
      <c r="I5" s="38"/>
      <c r="J5" s="38"/>
      <c r="K5" s="38"/>
      <c r="L5" s="4"/>
      <c r="M5" s="38"/>
      <c r="N5" s="30"/>
      <c r="O5" s="2"/>
    </row>
    <row r="6" spans="1:19">
      <c r="A6" s="6" t="s">
        <v>0</v>
      </c>
      <c r="B6" s="42"/>
      <c r="C6" s="42"/>
      <c r="D6" s="38"/>
      <c r="E6" s="38"/>
      <c r="F6" s="38"/>
      <c r="G6" s="38"/>
      <c r="H6" s="38"/>
      <c r="I6" s="38"/>
      <c r="J6" s="38"/>
      <c r="K6" s="38"/>
      <c r="L6" s="4"/>
      <c r="M6" s="4"/>
      <c r="N6" s="30"/>
      <c r="O6" s="2"/>
    </row>
    <row r="7" spans="1:19">
      <c r="A7" s="6" t="s">
        <v>2</v>
      </c>
      <c r="B7" s="42"/>
      <c r="C7" s="42"/>
      <c r="D7" s="38"/>
      <c r="E7" s="38"/>
      <c r="F7" s="38"/>
      <c r="G7" s="38"/>
      <c r="H7" s="38"/>
      <c r="I7" s="38"/>
      <c r="J7" s="38"/>
      <c r="K7" s="38"/>
      <c r="L7" s="4"/>
      <c r="M7" s="4"/>
      <c r="N7" s="30"/>
      <c r="O7" s="2"/>
    </row>
    <row r="8" spans="1:19">
      <c r="A8" s="6" t="s">
        <v>3</v>
      </c>
      <c r="B8" s="42"/>
      <c r="C8" s="42"/>
      <c r="D8" s="38"/>
      <c r="E8" s="38"/>
      <c r="F8" s="38"/>
      <c r="G8" s="38"/>
      <c r="H8" s="38"/>
      <c r="I8" s="38"/>
      <c r="J8" s="38"/>
      <c r="K8" s="38"/>
      <c r="L8" s="4"/>
      <c r="M8" s="4"/>
      <c r="N8" s="30"/>
      <c r="O8" s="2"/>
    </row>
    <row r="9" spans="1:19" ht="15.75" thickBot="1">
      <c r="A9" s="7" t="s">
        <v>10</v>
      </c>
      <c r="B9" s="42"/>
      <c r="C9" s="42"/>
      <c r="D9" s="38">
        <f>D5-(D6+D7+D8)</f>
        <v>69715000</v>
      </c>
      <c r="E9" s="38"/>
      <c r="F9" s="38"/>
      <c r="G9" s="38"/>
      <c r="H9" s="38"/>
      <c r="I9" s="38"/>
      <c r="J9" s="38"/>
      <c r="K9" s="38"/>
      <c r="L9" s="4"/>
      <c r="M9" s="4"/>
      <c r="N9" s="31"/>
      <c r="O9" s="8"/>
    </row>
    <row r="10" spans="1:19" ht="3.75" customHeight="1">
      <c r="A10" s="28"/>
      <c r="B10" s="43"/>
      <c r="C10" s="43"/>
      <c r="D10" s="48"/>
      <c r="E10" s="48"/>
      <c r="F10" s="48"/>
      <c r="G10" s="48"/>
      <c r="H10" s="48"/>
      <c r="I10" s="48"/>
      <c r="J10" s="48"/>
      <c r="K10" s="48"/>
      <c r="L10" s="5"/>
      <c r="M10" s="5"/>
      <c r="N10" s="29"/>
      <c r="O10" s="2"/>
    </row>
    <row r="11" spans="1:19" s="10" customFormat="1" ht="56.25" customHeight="1">
      <c r="A11" s="34" t="s">
        <v>4</v>
      </c>
      <c r="B11" s="35" t="s">
        <v>13</v>
      </c>
      <c r="C11" s="39" t="s">
        <v>14</v>
      </c>
      <c r="D11" s="49" t="s">
        <v>15</v>
      </c>
      <c r="E11" s="49" t="s">
        <v>89</v>
      </c>
      <c r="F11" s="49" t="s">
        <v>62</v>
      </c>
      <c r="G11" s="49" t="s">
        <v>63</v>
      </c>
      <c r="H11" s="49" t="s">
        <v>64</v>
      </c>
      <c r="I11" s="49" t="s">
        <v>75</v>
      </c>
      <c r="J11" s="49" t="s">
        <v>100</v>
      </c>
      <c r="K11" s="49" t="s">
        <v>65</v>
      </c>
      <c r="L11" s="49" t="s">
        <v>16</v>
      </c>
      <c r="M11" s="49"/>
      <c r="N11" s="13"/>
      <c r="O11" s="9" t="s">
        <v>6</v>
      </c>
      <c r="Q11" s="15"/>
      <c r="R11" s="15"/>
      <c r="S11" s="15"/>
    </row>
    <row r="12" spans="1:19">
      <c r="A12" s="57" t="s">
        <v>17</v>
      </c>
      <c r="B12" s="53"/>
      <c r="C12" s="53"/>
      <c r="D12" s="54"/>
      <c r="E12" s="54"/>
      <c r="F12" s="54"/>
      <c r="G12" s="54"/>
      <c r="H12" s="54"/>
      <c r="I12" s="54"/>
      <c r="J12" s="54"/>
      <c r="K12" s="54"/>
      <c r="L12" s="55"/>
      <c r="M12" s="59"/>
      <c r="N12" s="16"/>
      <c r="O12" s="32"/>
    </row>
    <row r="13" spans="1:19" ht="45">
      <c r="A13" s="83" t="s">
        <v>58</v>
      </c>
      <c r="B13" s="81" t="s">
        <v>19</v>
      </c>
      <c r="C13" s="73" t="s">
        <v>25</v>
      </c>
      <c r="D13" s="74">
        <v>213845</v>
      </c>
      <c r="E13" s="74"/>
      <c r="F13" s="117">
        <f>4900+2100+337.25+1200+5870</f>
        <v>14407.25</v>
      </c>
      <c r="G13" s="96">
        <f>2900+4500+5950+500</f>
        <v>13850</v>
      </c>
      <c r="H13" s="97">
        <f>19157.85+5291.74+5291.74</f>
        <v>29741.329999999994</v>
      </c>
      <c r="I13" s="96">
        <v>0</v>
      </c>
      <c r="J13" s="96">
        <v>0</v>
      </c>
      <c r="K13" s="74">
        <f t="shared" ref="K13:K15" si="0">F13+G13+H13</f>
        <v>57998.579999999994</v>
      </c>
      <c r="L13" s="75">
        <f t="shared" ref="L13:L21" si="1">D13-F13-G13-H13</f>
        <v>155846.42000000001</v>
      </c>
      <c r="M13" s="76"/>
      <c r="N13" s="77"/>
      <c r="O13" s="78"/>
    </row>
    <row r="14" spans="1:19">
      <c r="A14" s="84" t="s">
        <v>48</v>
      </c>
      <c r="B14" s="81" t="s">
        <v>19</v>
      </c>
      <c r="C14" s="73" t="s">
        <v>25</v>
      </c>
      <c r="D14" s="74">
        <v>341515</v>
      </c>
      <c r="E14" s="74"/>
      <c r="F14" s="74">
        <v>341515</v>
      </c>
      <c r="G14" s="74">
        <v>0</v>
      </c>
      <c r="H14" s="74">
        <v>0</v>
      </c>
      <c r="I14" s="74">
        <v>0</v>
      </c>
      <c r="J14" s="74">
        <v>0</v>
      </c>
      <c r="K14" s="74">
        <f t="shared" si="0"/>
        <v>341515</v>
      </c>
      <c r="L14" s="75">
        <f t="shared" si="1"/>
        <v>0</v>
      </c>
      <c r="M14" s="76"/>
      <c r="N14" s="77"/>
      <c r="O14" s="78"/>
    </row>
    <row r="15" spans="1:19">
      <c r="A15" s="84" t="s">
        <v>35</v>
      </c>
      <c r="B15" s="81" t="s">
        <v>19</v>
      </c>
      <c r="C15" s="73" t="s">
        <v>25</v>
      </c>
      <c r="D15" s="74">
        <v>797000</v>
      </c>
      <c r="E15" s="108"/>
      <c r="F15" s="95">
        <v>0</v>
      </c>
      <c r="G15" s="96">
        <f>515456+3937.5+525+2542.5+6870</f>
        <v>529331</v>
      </c>
      <c r="H15" s="74">
        <v>0</v>
      </c>
      <c r="I15" s="74">
        <v>0</v>
      </c>
      <c r="J15" s="74">
        <v>0</v>
      </c>
      <c r="K15" s="74">
        <f t="shared" si="0"/>
        <v>529331</v>
      </c>
      <c r="L15" s="75">
        <f t="shared" si="1"/>
        <v>267669</v>
      </c>
      <c r="M15" s="76"/>
      <c r="N15" s="77"/>
      <c r="O15" s="78"/>
      <c r="S15"/>
    </row>
    <row r="16" spans="1:19">
      <c r="A16" s="85" t="s">
        <v>29</v>
      </c>
      <c r="B16" s="82" t="s">
        <v>20</v>
      </c>
      <c r="C16" s="79" t="s">
        <v>25</v>
      </c>
      <c r="D16" s="80">
        <v>13180636</v>
      </c>
      <c r="E16" s="80">
        <v>10264756</v>
      </c>
      <c r="F16" s="74">
        <v>0</v>
      </c>
      <c r="G16" s="96">
        <f>15978.96+15800+467+23700+63334.16+1398.98+39500+26691.59+4600</f>
        <v>191470.68999999997</v>
      </c>
      <c r="H16" s="96">
        <f>126400+11694.54+5022.5+2330.75+3737.03+15800+2510.04+2090.21+16156+144750+38175.3+1642.67+135375.96+48659+486.49+486.5+7900+27704</f>
        <v>590920.99</v>
      </c>
      <c r="I16" s="97">
        <f>19750+8174.09+295+39980.17+2570.88-137.88+2428.52+1981.75+177+650+9600+301236.13+15800+12500+210851.91+298758.59+8868.4+2607.8+11086.48+367.05+12500+7900+12500+549022.65+8892.1+344511.4+3017+554974.79+12500+12500+7900+15800+35384.69+7900+15875.4+12104.1+12500+461802.16+7900+10200+617196.1+12500+493.04+16900+7900+6282.9</f>
        <v>3714502.2200000007</v>
      </c>
      <c r="J16" s="97">
        <f>508132.98+12500+15800+12500+5345.9+1026766.44+938922.18+3929.67+5168.17+22646.71+15800+2600+515.14+887869.75+12500+6712.48+656.4+265.48+52.45+1320.42+732.35+507.01+13727.3+515.14+15800+2600+887869.57+12500+12500+52.45+1320.42+265.48+507.01+43524.79+1692.85+838.09+61.88+87.7+2936.73+17.72+10256.54</f>
        <v>4488317.2</v>
      </c>
      <c r="K16" s="74">
        <f>F16+G16+H16+I16+J16</f>
        <v>8985211.1000000015</v>
      </c>
      <c r="L16" s="75">
        <f>D16-F16-G16-H16-J16</f>
        <v>7909927.1200000001</v>
      </c>
      <c r="M16" s="76"/>
      <c r="N16" s="77"/>
      <c r="O16" s="78" t="s">
        <v>11</v>
      </c>
    </row>
    <row r="17" spans="1:18">
      <c r="A17" s="60" t="s">
        <v>34</v>
      </c>
      <c r="B17" s="33" t="s">
        <v>21</v>
      </c>
      <c r="C17" s="111" t="s">
        <v>25</v>
      </c>
      <c r="D17" s="112">
        <v>21207321</v>
      </c>
      <c r="E17" s="112">
        <v>21422182</v>
      </c>
      <c r="F17" s="74">
        <v>0</v>
      </c>
      <c r="G17" s="96">
        <f>26226.64+107636+7350+31550</f>
        <v>172762.64</v>
      </c>
      <c r="H17" s="96">
        <f>263168.22+385.71+1684.42+3600+252750+171633.02+80982.16+99079.13+2012.8+4776.89+17684.38+2215+7867.99+23179.92+23179.92+7867.99+27993.96+504+874.6+16110.77+83657+27537.97</f>
        <v>1118745.8500000001</v>
      </c>
      <c r="I17" s="97">
        <f>20222.37+1667.5+3985+66883.5-137.88+295+1677.5+66883.5+50585.71+50444.61+5824.84+5311.6+675+808667.32+17000+3290+422280.65+13113.32+17000+12585.7+158528.3+19454.99+6283.3+16000+14000+410282.9+10490.65+20981.31+15735.99+748496.82+6585.5+29914.1+6585.5+7000+967678.81+339653.61+17000+28436.3+15735.98+33887</f>
        <v>4440986.3000000007</v>
      </c>
      <c r="J17" s="97" t="s">
        <v>108</v>
      </c>
      <c r="K17" s="74">
        <f t="shared" ref="K17:K21" si="2">F17+G17+H17+I17</f>
        <v>5732494.790000001</v>
      </c>
      <c r="L17" s="75">
        <f t="shared" si="1"/>
        <v>19915812.509999998</v>
      </c>
      <c r="M17" s="52"/>
      <c r="N17" s="16"/>
      <c r="O17" s="32" t="s">
        <v>11</v>
      </c>
      <c r="R17" s="61"/>
    </row>
    <row r="18" spans="1:18">
      <c r="A18" s="98" t="s">
        <v>59</v>
      </c>
      <c r="B18" s="33" t="s">
        <v>21</v>
      </c>
      <c r="C18" s="113" t="s">
        <v>25</v>
      </c>
      <c r="D18" s="114">
        <f>606319+15626.01</f>
        <v>621945.01</v>
      </c>
      <c r="E18" s="114">
        <v>621945</v>
      </c>
      <c r="F18" s="74">
        <v>0</v>
      </c>
      <c r="G18" s="97">
        <v>0</v>
      </c>
      <c r="H18" s="96">
        <f>184911.55+266407.36+8836.93+52238.49+24255.6+504+504</f>
        <v>537657.92999999993</v>
      </c>
      <c r="I18" s="97">
        <v>0</v>
      </c>
      <c r="J18" s="97">
        <v>0</v>
      </c>
      <c r="K18" s="74">
        <f t="shared" si="2"/>
        <v>537657.92999999993</v>
      </c>
      <c r="L18" s="75">
        <f t="shared" si="1"/>
        <v>84287.080000000075</v>
      </c>
      <c r="M18" s="52"/>
      <c r="N18" s="16"/>
      <c r="O18" s="120" t="s">
        <v>80</v>
      </c>
      <c r="P18" t="s">
        <v>68</v>
      </c>
      <c r="R18" s="61"/>
    </row>
    <row r="19" spans="1:18">
      <c r="A19" s="60" t="s">
        <v>98</v>
      </c>
      <c r="B19" s="33" t="s">
        <v>22</v>
      </c>
      <c r="C19" s="113" t="s">
        <v>25</v>
      </c>
      <c r="D19" s="114">
        <v>10890176</v>
      </c>
      <c r="E19" s="114">
        <v>10585834</v>
      </c>
      <c r="F19" s="74">
        <v>0</v>
      </c>
      <c r="G19" s="96">
        <f>11753.17+1900.06+2414.25+16494.29+15119.4+6600+11850</f>
        <v>66131.17</v>
      </c>
      <c r="H19" s="96">
        <f>3422.46+2330.75+5885.06+2510.64+2444.54+14480.7+25502.61+8414.7+298.78+4740+8414.7+295+196+30824.94+1402.45</f>
        <v>111163.33</v>
      </c>
      <c r="I19" s="97">
        <f>950+20000+20000+7900+577.74+568.63+1850+1013.85+502826.92+2123.49+3600+89470+1612.5+6500</f>
        <v>658993.13</v>
      </c>
      <c r="J19" s="97">
        <f>3091+502826.9275+44.36+1000+465+984+4140+4436+1000+465+750+984+4140+1491+7451.5+11272.1+12500</f>
        <v>557040.88749999995</v>
      </c>
      <c r="K19" s="74">
        <f t="shared" si="2"/>
        <v>836287.63</v>
      </c>
      <c r="L19" s="75">
        <f t="shared" si="1"/>
        <v>10712881.5</v>
      </c>
      <c r="M19" s="52"/>
      <c r="N19" s="16"/>
      <c r="O19" s="32" t="s">
        <v>11</v>
      </c>
      <c r="P19" s="61"/>
    </row>
    <row r="20" spans="1:18">
      <c r="A20" s="60" t="s">
        <v>39</v>
      </c>
      <c r="B20" s="33" t="s">
        <v>23</v>
      </c>
      <c r="C20" s="113" t="s">
        <v>25</v>
      </c>
      <c r="D20" s="114">
        <v>14382866</v>
      </c>
      <c r="E20" s="114">
        <v>20760249</v>
      </c>
      <c r="F20" s="74">
        <f>2886.75</f>
        <v>2886.75</v>
      </c>
      <c r="G20" s="96">
        <f>9295+577.93</f>
        <v>9872.93</v>
      </c>
      <c r="H20" s="96">
        <f>182130+45532+10675+7300+46006.95+3600+245874.6+2012.8+13703.81+3325+13659+3237.5+3200+22766+3200+2500+3237.5+1312.5+2587.5+1000+872.99+27898.42</f>
        <v>645631.57000000018</v>
      </c>
      <c r="I20" s="97">
        <f>2500+484+26547+3000+40979+11160+813626.49+2150+526+419.16+286853.09+10083.37+525650.3+344019.47+4108.6+12600+17545.4+12600+1013.85+9733.7+11090.4+26540.33+12600+1684572.3+1058102.79+12600+18837.32+353.97+37513.63+7502.73+12891.4+8600+8600+536649.44+1674677.9+695226.4+12660.7+6459+42515+1630.33+74963.8+655763.41+12505+2281.25+8750+8600+8600+146372.1+4497.4</f>
        <v>8917556.0300000031</v>
      </c>
      <c r="J20" s="97">
        <f>8600+288489.55+8640+8600+233.3+2847.7+3500+25973+12504+8600+261553.51+12505.09+551172.63+405330.49+8600+6192.4+2016.9+551172.63+6192.4+12505.09+12504.55+405330.49+2016.9+8600+8600+606.25+187.5+393.75+468.75+468.75+553</f>
        <v>2624958.6299999994</v>
      </c>
      <c r="K20" s="74">
        <f t="shared" si="2"/>
        <v>9575947.2800000031</v>
      </c>
      <c r="L20" s="75">
        <f t="shared" si="1"/>
        <v>13724474.75</v>
      </c>
      <c r="M20" s="52"/>
      <c r="N20" s="16"/>
      <c r="O20" s="32" t="s">
        <v>11</v>
      </c>
      <c r="P20" s="62"/>
    </row>
    <row r="21" spans="1:18">
      <c r="A21" s="60" t="s">
        <v>30</v>
      </c>
      <c r="B21" s="33" t="s">
        <v>24</v>
      </c>
      <c r="C21" s="113" t="s">
        <v>25</v>
      </c>
      <c r="D21" s="114">
        <v>8175155</v>
      </c>
      <c r="E21" s="114">
        <v>9513808</v>
      </c>
      <c r="F21" s="74">
        <v>0</v>
      </c>
      <c r="G21" s="96">
        <f>3600+18544+3750+1432.65+11200</f>
        <v>38526.65</v>
      </c>
      <c r="H21" s="96">
        <f>75275.36+910.8+18543.84+12362.56+5250+55631.52+77250+3600+92179.2+83447.28+10817.24+1877.75+6255.25+486.5+4081.5+2173.75+270+5000</f>
        <v>455412.54999999993</v>
      </c>
      <c r="I21" s="138">
        <f>6181.28+10817.24+9271.92+13013.53+392.8+13722.92+2800+327500+4192.5+38300.31+12362.56+14000+303664.65+14000+10729+13154+350746.65+5985+29646.52+29646.52+30882.75+14000+14000+362132.4+349030.95+10962.7+11353.5+14000+483451.2+32118.98+14000+3100+146372.1+41097.81+942368.65+5125.5+752</f>
        <v>3684875.94</v>
      </c>
      <c r="J21" s="138">
        <f>14000+3100+35827.8+31175.27+745061.25+840351+14000+14000+3567.5+1265+2000+34640.29+35827.8+364.75+421.25+1111520.9+14000+1587.8+680+2000+35238.46+187.8+6701.44+411.89+2437.99+982.7+2894.89+43.17+2018.57+1212.11+355.6+10809.85+74394.14+35827.8+34640.29+74394.14+1035703.3+1111520.9+5646+680+1587.8+14000+35827.8+12000+35238.46+187.8+6701.44+52.45+411.89+2437.99+982.7+2894.89+43.17+732.35+2018.57+1212.11+355.6+10809.85+64.35</f>
        <v>5469050.8699999992</v>
      </c>
      <c r="K21" s="74">
        <f t="shared" si="2"/>
        <v>4178815.1399999997</v>
      </c>
      <c r="L21" s="75">
        <f t="shared" si="1"/>
        <v>7681215.7999999998</v>
      </c>
      <c r="M21" s="52"/>
      <c r="N21" s="16"/>
      <c r="O21" s="32" t="s">
        <v>11</v>
      </c>
    </row>
    <row r="22" spans="1:18">
      <c r="A22" s="98" t="s">
        <v>90</v>
      </c>
      <c r="B22" s="33"/>
      <c r="C22" s="113"/>
      <c r="D22" s="114"/>
      <c r="E22" s="114">
        <v>75000</v>
      </c>
      <c r="F22" s="104"/>
      <c r="G22" s="105"/>
      <c r="H22" s="136"/>
      <c r="I22" s="97">
        <v>69899.88</v>
      </c>
      <c r="J22" s="97"/>
      <c r="K22" s="137">
        <f>E22-I22</f>
        <v>5100.1199999999953</v>
      </c>
      <c r="L22" s="75"/>
      <c r="M22" s="52"/>
      <c r="N22" s="56"/>
      <c r="O22" s="32"/>
    </row>
    <row r="23" spans="1:18">
      <c r="A23" s="98" t="s">
        <v>99</v>
      </c>
      <c r="B23" s="33"/>
      <c r="C23" s="113"/>
      <c r="D23" s="114"/>
      <c r="E23" s="114">
        <v>15000</v>
      </c>
      <c r="F23" s="104"/>
      <c r="G23" s="105"/>
      <c r="H23" s="136"/>
      <c r="I23" s="97">
        <v>1607.5</v>
      </c>
      <c r="J23" s="97">
        <f>280+172.5+364.75+431.25+977.5</f>
        <v>2226</v>
      </c>
      <c r="K23" s="137">
        <f>E23-I23</f>
        <v>13392.5</v>
      </c>
      <c r="L23" s="75"/>
      <c r="M23" s="52"/>
      <c r="N23" s="56"/>
      <c r="O23" s="32"/>
    </row>
    <row r="24" spans="1:18">
      <c r="A24" s="17" t="s">
        <v>38</v>
      </c>
      <c r="B24" s="33" t="s">
        <v>32</v>
      </c>
      <c r="C24" s="113" t="s">
        <v>25</v>
      </c>
      <c r="D24" s="114">
        <v>422026</v>
      </c>
      <c r="E24" s="114"/>
      <c r="F24" s="104">
        <f>5460+94799.54+5265+3656.25</f>
        <v>109180.79</v>
      </c>
      <c r="G24" s="105">
        <f>203986.07+1365+3931.32+120+87571+2340+195+975+4800.35+1230.35+2612.75</f>
        <v>309126.83999999997</v>
      </c>
      <c r="H24" s="136">
        <v>0</v>
      </c>
      <c r="I24" s="140">
        <v>0</v>
      </c>
      <c r="J24" s="140"/>
      <c r="K24" s="137">
        <f>F24+G24+H24+I24</f>
        <v>418307.62999999995</v>
      </c>
      <c r="L24" s="118">
        <f>D24-K24</f>
        <v>3718.3700000000536</v>
      </c>
      <c r="M24" s="52"/>
      <c r="N24" s="56"/>
      <c r="O24" s="32"/>
      <c r="P24" t="s">
        <v>68</v>
      </c>
    </row>
    <row r="25" spans="1:18">
      <c r="A25" s="68" t="s">
        <v>70</v>
      </c>
      <c r="B25" s="33" t="s">
        <v>69</v>
      </c>
      <c r="C25" s="113" t="s">
        <v>25</v>
      </c>
      <c r="D25" s="114">
        <v>185716</v>
      </c>
      <c r="E25" s="114"/>
      <c r="F25" s="74">
        <v>0</v>
      </c>
      <c r="G25" s="96">
        <v>0</v>
      </c>
      <c r="H25" s="106">
        <f>341.25+1748+63900+72626+7100</f>
        <v>145715.25</v>
      </c>
      <c r="I25" s="139">
        <f>40910</f>
        <v>40910</v>
      </c>
      <c r="J25" s="139"/>
      <c r="K25" s="74">
        <f>F25+G25+H25+I25</f>
        <v>186625.25</v>
      </c>
      <c r="L25" s="75">
        <f>D25-K25</f>
        <v>-909.25</v>
      </c>
      <c r="M25" s="52"/>
      <c r="N25" s="56"/>
      <c r="O25" s="32"/>
    </row>
    <row r="26" spans="1:18">
      <c r="A26" s="68" t="s">
        <v>76</v>
      </c>
      <c r="B26" s="33" t="s">
        <v>77</v>
      </c>
      <c r="C26" s="115" t="s">
        <v>25</v>
      </c>
      <c r="D26" s="116">
        <v>701529</v>
      </c>
      <c r="E26" s="135">
        <v>701529</v>
      </c>
      <c r="F26" s="110">
        <v>0</v>
      </c>
      <c r="G26" s="96">
        <v>0</v>
      </c>
      <c r="H26" s="106">
        <v>0</v>
      </c>
      <c r="I26" s="97">
        <f>562.5+1012.5+191642.97+3937.5+675+187888.96+9487.5+1181.25+1912.5+422.99+2531.25+3935.48+1065.2+8004+562.5+1237.5+13110+2909.26+225+281.25+337.5</f>
        <v>432922.61</v>
      </c>
      <c r="J26" s="97">
        <f>450+450</f>
        <v>900</v>
      </c>
      <c r="K26" s="74">
        <f>F26+G26+H26+I26</f>
        <v>432922.61</v>
      </c>
      <c r="L26" s="75">
        <f>D26-K26</f>
        <v>268606.39</v>
      </c>
      <c r="M26" s="52"/>
      <c r="N26" s="56"/>
      <c r="O26" s="32"/>
    </row>
    <row r="27" spans="1:18">
      <c r="A27" s="68" t="s">
        <v>56</v>
      </c>
      <c r="B27" s="33" t="s">
        <v>55</v>
      </c>
      <c r="C27" s="44"/>
      <c r="D27" s="64"/>
      <c r="E27" s="64"/>
      <c r="F27" s="89">
        <f>5808.58+159.73</f>
        <v>5968.3099999999995</v>
      </c>
      <c r="G27" s="89">
        <f>136023+4432+1285+647+442+361.79+4536.01</f>
        <v>147726.80000000002</v>
      </c>
      <c r="H27" s="96">
        <f>1624.25+2758.25+3851.4+1520.5+3519.75+1940+280+1618.75+89.45+32.85+1000+3078.75+378.5+3.49+3144.37+407+412.75+3489.73+80.82+75+168.47+24+4260+196+1549.75+2998.3+24+2204.5</f>
        <v>40730.630000000005</v>
      </c>
      <c r="I27" s="97">
        <f>2998.3+1549.75+24+2204.5+118+206.5+4401+7.64+460.7+56.62</f>
        <v>12027.01</v>
      </c>
      <c r="J27" s="97"/>
      <c r="K27" s="74">
        <f>F27+G27+H27+I27</f>
        <v>206452.75000000003</v>
      </c>
      <c r="L27" s="75">
        <f>D27-F27-G27-H27</f>
        <v>-194425.74000000002</v>
      </c>
      <c r="M27" s="52"/>
      <c r="N27" s="56"/>
      <c r="O27" s="119">
        <v>1</v>
      </c>
    </row>
    <row r="28" spans="1:18">
      <c r="A28" s="68"/>
      <c r="B28" s="33"/>
      <c r="C28" s="44"/>
      <c r="D28" s="64"/>
      <c r="E28" s="64"/>
      <c r="F28" s="89"/>
      <c r="G28" s="89"/>
      <c r="H28" s="107"/>
      <c r="I28" s="107"/>
      <c r="J28" s="107"/>
      <c r="K28" s="108"/>
      <c r="L28" s="109"/>
      <c r="M28" s="52"/>
      <c r="N28" s="56"/>
      <c r="O28" s="32"/>
    </row>
    <row r="29" spans="1:18">
      <c r="A29" s="60"/>
      <c r="B29" s="33"/>
      <c r="C29" s="44"/>
      <c r="D29" s="90">
        <f>SUM(D13:D27)</f>
        <v>71119730.00999999</v>
      </c>
      <c r="E29" s="90"/>
      <c r="F29" s="90">
        <f t="shared" ref="F29:L29" si="3">SUM(F13:F27)</f>
        <v>473958.1</v>
      </c>
      <c r="G29" s="90">
        <f t="shared" si="3"/>
        <v>1478798.72</v>
      </c>
      <c r="H29" s="90">
        <f t="shared" si="3"/>
        <v>3675719.4299999997</v>
      </c>
      <c r="I29" s="90">
        <f t="shared" si="3"/>
        <v>21974280.620000008</v>
      </c>
      <c r="J29" s="90"/>
      <c r="K29" s="90">
        <f t="shared" si="3"/>
        <v>32038059.310000002</v>
      </c>
      <c r="L29" s="90">
        <f t="shared" si="3"/>
        <v>60529103.949999988</v>
      </c>
      <c r="M29" s="52"/>
      <c r="N29" s="56"/>
      <c r="O29" s="32"/>
    </row>
    <row r="30" spans="1:18">
      <c r="A30" s="92" t="s">
        <v>52</v>
      </c>
      <c r="B30" s="33"/>
      <c r="C30" s="44"/>
      <c r="D30" s="64"/>
      <c r="E30" s="64"/>
      <c r="F30" s="64"/>
      <c r="G30" s="64"/>
      <c r="H30" s="64"/>
      <c r="I30" s="64"/>
      <c r="J30" s="64"/>
      <c r="K30" s="64"/>
      <c r="L30" s="65"/>
      <c r="M30" s="52"/>
      <c r="N30" s="56"/>
      <c r="O30" s="32"/>
    </row>
    <row r="31" spans="1:18">
      <c r="A31" s="60" t="s">
        <v>36</v>
      </c>
      <c r="B31" s="33" t="s">
        <v>26</v>
      </c>
      <c r="C31" s="44" t="s">
        <v>54</v>
      </c>
      <c r="D31" s="89">
        <f>888226+16647.4</f>
        <v>904873.4</v>
      </c>
      <c r="E31" s="89"/>
      <c r="G31" s="89">
        <f>355808.9+53863.23+120892.71+330640.18+43668.38</f>
        <v>904873.4</v>
      </c>
      <c r="H31" s="74">
        <v>0</v>
      </c>
      <c r="I31" s="74">
        <v>0</v>
      </c>
      <c r="J31" s="74">
        <v>0</v>
      </c>
      <c r="K31" s="74">
        <f>F31+G31+H31+I31</f>
        <v>904873.4</v>
      </c>
      <c r="L31" s="65">
        <f>D31-K31</f>
        <v>0</v>
      </c>
      <c r="M31" s="52"/>
      <c r="N31" s="56"/>
      <c r="O31" s="124">
        <v>3</v>
      </c>
      <c r="P31" t="s">
        <v>68</v>
      </c>
    </row>
    <row r="32" spans="1:18">
      <c r="A32" s="60" t="s">
        <v>37</v>
      </c>
      <c r="B32" s="33" t="s">
        <v>31</v>
      </c>
      <c r="C32" s="44" t="s">
        <v>54</v>
      </c>
      <c r="D32" s="64">
        <v>465480</v>
      </c>
      <c r="E32" s="64"/>
      <c r="G32" s="89">
        <f>227849.58+189810.3+25426.95+22393.17</f>
        <v>465480</v>
      </c>
      <c r="H32" s="74">
        <v>0</v>
      </c>
      <c r="I32" s="74">
        <v>0</v>
      </c>
      <c r="J32" s="74">
        <v>0</v>
      </c>
      <c r="K32" s="74">
        <f>F32+G32+H32+I32</f>
        <v>465480</v>
      </c>
      <c r="L32" s="65">
        <f>D32-G32-F32</f>
        <v>0</v>
      </c>
      <c r="M32" s="52"/>
      <c r="N32" s="56"/>
      <c r="O32" s="32"/>
      <c r="P32" t="s">
        <v>68</v>
      </c>
    </row>
    <row r="33" spans="1:19">
      <c r="A33" s="60" t="s">
        <v>53</v>
      </c>
      <c r="B33" s="33" t="s">
        <v>22</v>
      </c>
      <c r="C33" s="45" t="s">
        <v>54</v>
      </c>
      <c r="D33" s="91">
        <v>850000</v>
      </c>
      <c r="E33" s="91"/>
      <c r="G33" s="103">
        <v>42500</v>
      </c>
      <c r="H33" s="96">
        <f>(807981.97-219.31)</f>
        <v>807762.65999999992</v>
      </c>
      <c r="I33" s="96">
        <v>0</v>
      </c>
      <c r="J33" s="74">
        <v>0</v>
      </c>
      <c r="K33" s="74">
        <f>F33+G33+H33+I33</f>
        <v>850262.65999999992</v>
      </c>
      <c r="L33" s="65">
        <f>D33-K33</f>
        <v>-262.65999999991618</v>
      </c>
      <c r="P33" t="s">
        <v>68</v>
      </c>
      <c r="Q33" t="s">
        <v>66</v>
      </c>
    </row>
    <row r="34" spans="1:19" ht="15.75">
      <c r="A34" s="68" t="s">
        <v>60</v>
      </c>
      <c r="B34" s="33" t="s">
        <v>31</v>
      </c>
      <c r="C34" s="44" t="s">
        <v>54</v>
      </c>
      <c r="D34" s="64">
        <v>516750</v>
      </c>
      <c r="E34" s="64"/>
      <c r="F34" s="89"/>
      <c r="G34" s="89">
        <f>91324.07+76577.93</f>
        <v>167902</v>
      </c>
      <c r="H34" s="96">
        <f>152456.12+196391.95</f>
        <v>348848.07</v>
      </c>
      <c r="I34" s="96">
        <v>0</v>
      </c>
      <c r="J34" s="74">
        <v>0</v>
      </c>
      <c r="K34" s="74">
        <f>F34+G34+H34+I34</f>
        <v>516750.07</v>
      </c>
      <c r="L34" s="65">
        <f>D34-F34-G34-H34</f>
        <v>-7.0000000006984919E-2</v>
      </c>
      <c r="M34" s="52"/>
      <c r="N34" s="56"/>
      <c r="O34" s="126" t="s">
        <v>82</v>
      </c>
      <c r="P34" s="134">
        <v>999.99</v>
      </c>
      <c r="R34" s="93"/>
    </row>
    <row r="35" spans="1:19">
      <c r="A35" s="17" t="s">
        <v>18</v>
      </c>
      <c r="B35" s="33"/>
      <c r="C35" s="44"/>
      <c r="D35" s="90">
        <f t="shared" ref="D35:L35" si="4">SUM(D29:D34)</f>
        <v>73856833.409999996</v>
      </c>
      <c r="E35" s="90"/>
      <c r="F35" s="90">
        <f t="shared" si="4"/>
        <v>473958.1</v>
      </c>
      <c r="G35" s="90">
        <f t="shared" si="4"/>
        <v>3059554.12</v>
      </c>
      <c r="H35" s="90">
        <f t="shared" si="4"/>
        <v>4832330.16</v>
      </c>
      <c r="I35" s="90">
        <f>SUM(I31:I34)</f>
        <v>0</v>
      </c>
      <c r="J35" s="90"/>
      <c r="K35" s="90">
        <f t="shared" si="4"/>
        <v>34775425.439999998</v>
      </c>
      <c r="L35" s="90">
        <f t="shared" si="4"/>
        <v>60528841.219999991</v>
      </c>
      <c r="M35" s="52"/>
      <c r="N35" s="56"/>
      <c r="O35" s="32"/>
    </row>
    <row r="36" spans="1:19">
      <c r="A36" s="68"/>
      <c r="B36" s="33"/>
      <c r="C36" s="44"/>
      <c r="D36" s="64"/>
      <c r="E36" s="64"/>
      <c r="F36" s="64"/>
      <c r="G36" s="64"/>
      <c r="H36" s="64"/>
      <c r="I36" s="64"/>
      <c r="J36" s="64"/>
      <c r="K36" s="64"/>
      <c r="L36" s="65"/>
      <c r="M36" s="52"/>
      <c r="N36" s="56"/>
      <c r="O36" s="32"/>
      <c r="Q36" s="61"/>
      <c r="S36" s="94"/>
    </row>
    <row r="37" spans="1:19">
      <c r="A37" s="86"/>
      <c r="B37" s="33"/>
      <c r="C37" s="44"/>
      <c r="D37" s="87"/>
      <c r="E37" s="87"/>
      <c r="F37" s="88"/>
      <c r="G37" s="88"/>
      <c r="H37" s="88"/>
      <c r="I37" s="88"/>
      <c r="J37" s="88"/>
      <c r="K37" s="88"/>
      <c r="L37" s="52"/>
      <c r="M37" s="52"/>
      <c r="N37" s="56"/>
      <c r="O37" s="32"/>
    </row>
    <row r="38" spans="1:19">
      <c r="A38" s="17"/>
      <c r="B38" s="33"/>
      <c r="C38" s="44"/>
      <c r="D38" s="50"/>
      <c r="E38" s="50"/>
      <c r="F38" s="50"/>
      <c r="G38" s="50"/>
      <c r="H38" s="50"/>
      <c r="I38" s="50"/>
      <c r="J38" s="50"/>
      <c r="K38" s="50"/>
      <c r="L38" s="52"/>
      <c r="M38" s="52"/>
      <c r="N38" s="56"/>
      <c r="O38" s="32"/>
    </row>
    <row r="39" spans="1:19">
      <c r="A39" s="57" t="s">
        <v>40</v>
      </c>
      <c r="B39" s="33"/>
      <c r="C39" s="44"/>
      <c r="D39" s="66">
        <v>97000000</v>
      </c>
      <c r="E39" s="66"/>
      <c r="F39" s="50"/>
      <c r="G39" s="50"/>
      <c r="H39" s="50"/>
      <c r="I39" s="50"/>
      <c r="J39" s="50"/>
      <c r="K39" s="50"/>
      <c r="L39" s="52"/>
      <c r="M39" s="52"/>
    </row>
    <row r="40" spans="1:19">
      <c r="A40" s="68" t="s">
        <v>43</v>
      </c>
      <c r="B40" s="33" t="s">
        <v>104</v>
      </c>
      <c r="C40" s="44" t="s">
        <v>72</v>
      </c>
      <c r="L40" s="52"/>
      <c r="M40" s="52"/>
      <c r="N40" s="16"/>
      <c r="O40" s="32"/>
    </row>
    <row r="41" spans="1:19">
      <c r="A41" s="68" t="s">
        <v>44</v>
      </c>
      <c r="B41" s="33" t="s">
        <v>73</v>
      </c>
      <c r="C41" s="33" t="s">
        <v>72</v>
      </c>
      <c r="D41" s="64">
        <v>13045</v>
      </c>
      <c r="E41" s="64"/>
      <c r="F41" s="50"/>
      <c r="G41" s="50"/>
      <c r="H41" s="50">
        <f>9445+3600</f>
        <v>13045</v>
      </c>
      <c r="I41" s="50"/>
      <c r="J41" s="50"/>
      <c r="K41" s="74">
        <f>F41+G41+H41</f>
        <v>13045</v>
      </c>
      <c r="L41" s="75">
        <f>D41-F41-G41-H41</f>
        <v>0</v>
      </c>
      <c r="M41" s="52"/>
      <c r="N41" s="16"/>
      <c r="O41" s="128">
        <v>5</v>
      </c>
      <c r="P41" s="133">
        <v>60120</v>
      </c>
    </row>
    <row r="42" spans="1:19">
      <c r="A42" s="68" t="s">
        <v>45</v>
      </c>
      <c r="B42" s="33" t="s">
        <v>101</v>
      </c>
      <c r="C42" s="44" t="s">
        <v>54</v>
      </c>
      <c r="D42" s="64"/>
      <c r="E42" s="64"/>
      <c r="F42" s="50"/>
      <c r="G42" s="50"/>
      <c r="H42" s="50"/>
      <c r="I42" s="50"/>
      <c r="J42" s="50">
        <f>2254</f>
        <v>2254</v>
      </c>
      <c r="L42" s="52"/>
      <c r="M42" s="52"/>
      <c r="N42" s="16"/>
      <c r="O42" s="32"/>
    </row>
    <row r="43" spans="1:19">
      <c r="A43" s="68" t="s">
        <v>46</v>
      </c>
      <c r="B43" s="33" t="s">
        <v>102</v>
      </c>
      <c r="C43" s="44" t="s">
        <v>54</v>
      </c>
      <c r="D43" s="64"/>
      <c r="E43" s="64"/>
      <c r="F43" s="50"/>
      <c r="G43" s="50"/>
      <c r="H43" s="50"/>
      <c r="I43" s="50"/>
      <c r="J43" s="50">
        <v>5950</v>
      </c>
      <c r="L43" s="52"/>
      <c r="M43" s="52"/>
      <c r="N43" s="16"/>
      <c r="O43" s="32"/>
    </row>
    <row r="44" spans="1:19">
      <c r="A44" s="68" t="s">
        <v>74</v>
      </c>
      <c r="B44" s="33" t="s">
        <v>107</v>
      </c>
      <c r="C44" s="44" t="s">
        <v>54</v>
      </c>
      <c r="D44" s="64">
        <v>2000000</v>
      </c>
      <c r="E44" s="64"/>
      <c r="G44" s="89"/>
      <c r="H44" s="96">
        <f>13800+4900+36710.77+3077.41+14294.27+14451.1+23044.44+6900</f>
        <v>117177.99</v>
      </c>
      <c r="I44" s="96">
        <f>24150+32959+20500+7762+2588+2587</f>
        <v>90546</v>
      </c>
      <c r="J44" s="96">
        <f>9488+1725</f>
        <v>11213</v>
      </c>
      <c r="K44" s="74">
        <f>(F44+G44+H44)+10350</f>
        <v>127527.99</v>
      </c>
      <c r="L44" s="65">
        <f>(D44-K44)</f>
        <v>1872472.01</v>
      </c>
      <c r="M44" s="52"/>
      <c r="N44" s="56"/>
      <c r="O44" s="123">
        <v>6</v>
      </c>
    </row>
    <row r="45" spans="1:19">
      <c r="A45" s="68" t="s">
        <v>42</v>
      </c>
      <c r="B45" s="33" t="s">
        <v>103</v>
      </c>
      <c r="C45" s="44" t="s">
        <v>54</v>
      </c>
      <c r="D45" s="64"/>
      <c r="E45" s="64"/>
      <c r="F45" s="50"/>
      <c r="G45" s="50"/>
      <c r="H45" s="50"/>
      <c r="I45" s="50" t="s">
        <v>97</v>
      </c>
      <c r="J45" s="50"/>
      <c r="K45" s="50"/>
      <c r="L45" s="52"/>
      <c r="M45" s="52"/>
      <c r="N45" s="16"/>
      <c r="O45" s="32"/>
    </row>
    <row r="46" spans="1:19" ht="30.75" thickBot="1">
      <c r="A46" s="71" t="s">
        <v>41</v>
      </c>
      <c r="B46" s="33"/>
      <c r="C46" s="44"/>
      <c r="D46" s="64"/>
      <c r="E46" s="64"/>
      <c r="F46" s="50"/>
      <c r="G46" s="50"/>
      <c r="H46" s="50"/>
      <c r="I46" s="50"/>
      <c r="J46" s="50"/>
      <c r="K46" s="50"/>
      <c r="L46" s="52"/>
      <c r="M46" s="58"/>
      <c r="N46" s="16"/>
      <c r="O46" s="32"/>
    </row>
    <row r="47" spans="1:19" ht="16.5" thickTop="1" thickBot="1">
      <c r="A47" s="17" t="s">
        <v>105</v>
      </c>
      <c r="B47" s="33" t="s">
        <v>106</v>
      </c>
      <c r="C47" s="33"/>
      <c r="D47" s="64"/>
      <c r="E47" s="64"/>
      <c r="F47" s="50"/>
      <c r="G47" s="50"/>
      <c r="H47" s="50"/>
      <c r="I47" s="50"/>
      <c r="J47" s="50"/>
      <c r="K47" s="50"/>
      <c r="L47" s="18"/>
      <c r="M47" s="18"/>
      <c r="N47" s="16"/>
      <c r="O47" s="32"/>
    </row>
    <row r="48" spans="1:19" ht="91.5" customHeight="1" thickTop="1">
      <c r="A48" s="72" t="s">
        <v>86</v>
      </c>
      <c r="B48" s="141" t="s">
        <v>47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37"/>
      <c r="N48" s="14"/>
      <c r="O48" s="32"/>
    </row>
    <row r="49" spans="1:15">
      <c r="A49" s="122" t="s">
        <v>91</v>
      </c>
      <c r="B49" s="40"/>
      <c r="C49" s="40"/>
      <c r="D49" s="46"/>
      <c r="E49" s="70"/>
      <c r="F49" s="46"/>
      <c r="G49" s="70"/>
      <c r="H49" s="70"/>
      <c r="I49" s="70"/>
      <c r="J49" s="70"/>
      <c r="K49" s="70"/>
      <c r="L49" s="2"/>
      <c r="M49" s="2"/>
      <c r="N49" s="3"/>
      <c r="O49" s="32"/>
    </row>
    <row r="50" spans="1:15" ht="30">
      <c r="A50" s="63" t="s">
        <v>81</v>
      </c>
      <c r="B50" s="40"/>
      <c r="C50" s="40"/>
      <c r="D50" s="70"/>
      <c r="E50" s="70"/>
      <c r="F50" s="70"/>
      <c r="G50" s="70"/>
      <c r="H50" s="70"/>
      <c r="I50" s="70"/>
      <c r="J50" s="70"/>
      <c r="K50" s="70"/>
      <c r="L50" s="67"/>
      <c r="M50" s="67"/>
      <c r="N50" s="3"/>
      <c r="O50" s="32"/>
    </row>
    <row r="51" spans="1:15">
      <c r="A51" s="4"/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2"/>
      <c r="N51" s="3"/>
      <c r="O51" s="32"/>
    </row>
    <row r="52" spans="1:15" ht="18.75">
      <c r="A52" s="121" t="s">
        <v>84</v>
      </c>
      <c r="B52" s="40"/>
      <c r="C52" s="40"/>
      <c r="D52" s="46"/>
      <c r="E52" s="70"/>
      <c r="F52" s="46"/>
      <c r="G52" s="70"/>
      <c r="H52" s="70"/>
      <c r="I52" s="70"/>
      <c r="J52" s="70"/>
      <c r="K52" s="70"/>
      <c r="L52" s="2"/>
      <c r="M52" s="2"/>
      <c r="N52" s="3"/>
      <c r="O52" s="32"/>
    </row>
    <row r="53" spans="1:15">
      <c r="A53" s="4" t="s">
        <v>85</v>
      </c>
      <c r="B53" s="40"/>
      <c r="C53" s="40"/>
      <c r="D53" s="46"/>
      <c r="E53" s="70"/>
      <c r="F53" s="46"/>
      <c r="G53" s="70"/>
      <c r="H53" s="70"/>
      <c r="I53" s="70"/>
      <c r="J53" s="70"/>
      <c r="K53" s="70"/>
      <c r="L53" s="2"/>
      <c r="M53" s="2"/>
      <c r="N53" s="3"/>
      <c r="O53" s="32"/>
    </row>
    <row r="54" spans="1:15">
      <c r="A54" s="4" t="s">
        <v>78</v>
      </c>
      <c r="B54" s="40"/>
      <c r="C54" s="40"/>
      <c r="D54" s="46"/>
      <c r="E54" s="70"/>
      <c r="F54" s="46"/>
      <c r="G54" s="70"/>
      <c r="H54" s="70"/>
      <c r="I54" s="70"/>
      <c r="J54" s="70"/>
      <c r="K54" s="70"/>
      <c r="L54" s="2"/>
      <c r="M54" s="2"/>
      <c r="N54" s="3"/>
      <c r="O54" s="32"/>
    </row>
    <row r="55" spans="1:15">
      <c r="A55" s="4" t="s">
        <v>79</v>
      </c>
      <c r="B55" s="40"/>
      <c r="C55" s="40"/>
      <c r="D55" s="70"/>
      <c r="E55" s="70"/>
      <c r="F55" s="70"/>
      <c r="G55" s="70"/>
      <c r="H55" s="70"/>
      <c r="I55" s="70"/>
      <c r="J55" s="70"/>
      <c r="K55" s="70"/>
      <c r="L55" s="67"/>
      <c r="O55" s="32"/>
    </row>
    <row r="56" spans="1:15">
      <c r="A56" s="4"/>
      <c r="B56" s="40"/>
      <c r="C56" s="40"/>
      <c r="D56" s="70"/>
      <c r="E56" s="70"/>
      <c r="F56" s="70"/>
      <c r="G56" s="70"/>
      <c r="H56" s="70"/>
      <c r="I56" s="70"/>
      <c r="J56" s="70"/>
      <c r="K56" s="70"/>
      <c r="L56" s="67"/>
      <c r="O56" s="32"/>
    </row>
    <row r="57" spans="1:15">
      <c r="A57" s="125" t="s">
        <v>92</v>
      </c>
      <c r="B57" s="130"/>
      <c r="C57" s="40"/>
      <c r="D57" s="70"/>
      <c r="E57" s="70"/>
      <c r="F57" s="70"/>
      <c r="G57" s="70"/>
      <c r="H57" s="70"/>
      <c r="I57" s="70"/>
      <c r="J57" s="70"/>
      <c r="K57" s="70"/>
      <c r="L57" s="67"/>
      <c r="O57" s="32"/>
    </row>
    <row r="58" spans="1:15">
      <c r="A58" s="99" t="s">
        <v>83</v>
      </c>
      <c r="B58" s="40"/>
      <c r="C58" s="40"/>
      <c r="D58" s="70"/>
      <c r="E58" s="70"/>
      <c r="F58" s="70"/>
      <c r="G58" s="70"/>
      <c r="H58" s="70"/>
      <c r="I58" s="70"/>
      <c r="J58" s="70"/>
      <c r="K58" s="70"/>
      <c r="L58" s="67"/>
      <c r="O58" s="100"/>
    </row>
    <row r="59" spans="1:15">
      <c r="A59" s="67"/>
      <c r="B59" s="40"/>
      <c r="C59" s="40"/>
      <c r="D59" s="70"/>
      <c r="E59" s="70"/>
      <c r="F59" s="70"/>
      <c r="G59" s="70"/>
      <c r="H59" s="70"/>
      <c r="I59" s="70"/>
      <c r="J59" s="70"/>
      <c r="K59" s="70"/>
      <c r="L59" s="67"/>
      <c r="O59" s="101"/>
    </row>
    <row r="60" spans="1:15" ht="18.75">
      <c r="A60" s="127" t="s">
        <v>93</v>
      </c>
      <c r="B60" s="40"/>
      <c r="C60" s="40"/>
      <c r="D60" s="70"/>
      <c r="E60" s="70"/>
      <c r="F60" s="70"/>
      <c r="G60" s="70"/>
      <c r="H60" s="70"/>
      <c r="I60" s="70"/>
      <c r="J60" s="70"/>
      <c r="K60" s="70"/>
      <c r="L60" s="67"/>
      <c r="O60" s="101"/>
    </row>
    <row r="61" spans="1:15">
      <c r="A61" s="67"/>
      <c r="B61" s="40"/>
      <c r="C61" s="40"/>
      <c r="D61" s="70"/>
      <c r="E61" s="70"/>
      <c r="F61" s="70"/>
      <c r="G61" s="70"/>
      <c r="H61" s="70"/>
      <c r="I61" s="70"/>
      <c r="J61" s="70"/>
      <c r="K61" s="70"/>
      <c r="L61" s="67"/>
      <c r="O61" s="101"/>
    </row>
    <row r="62" spans="1:15">
      <c r="A62" s="129" t="s">
        <v>94</v>
      </c>
      <c r="B62" s="40"/>
      <c r="C62" s="40"/>
      <c r="D62" s="70"/>
      <c r="E62" s="70"/>
      <c r="F62" s="70"/>
      <c r="G62" s="70"/>
      <c r="H62" s="70"/>
      <c r="I62" s="70"/>
      <c r="J62" s="70"/>
      <c r="K62" s="70"/>
      <c r="L62" s="67"/>
      <c r="O62" s="101"/>
    </row>
    <row r="63" spans="1:15">
      <c r="A63" s="67" t="s">
        <v>87</v>
      </c>
      <c r="B63" s="40"/>
      <c r="C63" s="40"/>
      <c r="D63" s="70"/>
      <c r="E63" s="70"/>
      <c r="F63" s="70"/>
      <c r="G63" s="70"/>
      <c r="H63" s="70"/>
      <c r="I63" s="70"/>
      <c r="J63" s="70"/>
      <c r="K63" s="70"/>
      <c r="L63" s="67"/>
      <c r="O63" s="102"/>
    </row>
    <row r="64" spans="1:15">
      <c r="A64" s="67" t="s">
        <v>88</v>
      </c>
      <c r="B64" s="40"/>
      <c r="C64" s="40"/>
      <c r="D64" s="70"/>
      <c r="E64" s="70"/>
      <c r="F64" s="70"/>
      <c r="G64" s="70"/>
      <c r="H64" s="70"/>
      <c r="I64" s="70"/>
      <c r="J64" s="70"/>
      <c r="K64" s="70"/>
      <c r="L64" s="67"/>
    </row>
    <row r="65" spans="1:12">
      <c r="A65" s="67"/>
      <c r="B65" s="40"/>
      <c r="C65" s="40"/>
      <c r="D65" s="70"/>
      <c r="E65" s="70"/>
      <c r="F65" s="70"/>
      <c r="G65" s="70"/>
      <c r="H65" s="70"/>
      <c r="I65" s="70"/>
      <c r="J65" s="70"/>
      <c r="K65" s="70"/>
      <c r="L65" s="67"/>
    </row>
    <row r="66" spans="1:12">
      <c r="A66" s="132" t="s">
        <v>95</v>
      </c>
      <c r="B66" s="40"/>
      <c r="C66" s="40"/>
      <c r="D66" s="70"/>
      <c r="E66" s="70"/>
      <c r="F66" s="70"/>
      <c r="G66" s="70"/>
      <c r="H66" s="70"/>
      <c r="I66" s="70"/>
      <c r="J66" s="70"/>
      <c r="K66" s="70"/>
      <c r="L66" s="67"/>
    </row>
    <row r="67" spans="1:12">
      <c r="A67" s="67"/>
      <c r="B67" s="40"/>
      <c r="C67" s="40"/>
      <c r="D67" s="70"/>
      <c r="E67" s="70"/>
      <c r="F67" s="70"/>
      <c r="G67" s="70"/>
      <c r="H67" s="70"/>
      <c r="I67" s="70"/>
      <c r="J67" s="70"/>
      <c r="K67" s="70"/>
      <c r="L67" s="67"/>
    </row>
    <row r="68" spans="1:12">
      <c r="A68" s="67"/>
      <c r="B68" s="40"/>
      <c r="C68" s="40"/>
      <c r="D68" s="70"/>
      <c r="E68" s="70"/>
      <c r="F68" s="70"/>
      <c r="G68" s="70"/>
      <c r="H68" s="70"/>
      <c r="I68" s="70"/>
      <c r="J68" s="70"/>
      <c r="K68" s="70"/>
      <c r="L68" s="67"/>
    </row>
    <row r="69" spans="1:12">
      <c r="A69" s="67"/>
      <c r="B69" s="40"/>
      <c r="C69" s="40"/>
      <c r="D69" s="70"/>
      <c r="E69" s="70"/>
      <c r="F69" s="70"/>
      <c r="G69" s="70"/>
      <c r="H69" s="70"/>
      <c r="I69" s="70"/>
      <c r="J69" s="70"/>
      <c r="K69" s="70"/>
      <c r="L69" s="67"/>
    </row>
    <row r="70" spans="1:12">
      <c r="A70" s="131"/>
      <c r="B70" s="40"/>
      <c r="C70" s="40"/>
      <c r="D70" s="70"/>
      <c r="E70" s="70"/>
      <c r="F70" s="70"/>
      <c r="G70" s="70"/>
      <c r="H70" s="70"/>
      <c r="I70" s="70"/>
      <c r="J70" s="70"/>
      <c r="K70" s="70"/>
      <c r="L70" s="67"/>
    </row>
  </sheetData>
  <mergeCells count="2">
    <mergeCell ref="B48:L48"/>
    <mergeCell ref="B51:L51"/>
  </mergeCells>
  <phoneticPr fontId="1" type="noConversion"/>
  <printOptions headings="1" gridLines="1"/>
  <pageMargins left="0.25" right="0.25" top="0.75" bottom="0.5" header="0.3" footer="0.3"/>
  <pageSetup scale="63" fitToHeight="0" orientation="landscape" r:id="rId1"/>
  <headerFooter>
    <oddHeader>&amp;LBoard Date January 12 2021&amp;C&amp;"-,Bold"&amp;12&amp;UFINANCIAL STATUS OF
MEASURE T FUNDS&amp;"-,Regular"&amp;11&amp;U
&amp;R&amp;10Printed  &amp;D</oddHeader>
    <oddFooter>&amp;L&amp;"Calibri,Regular"&amp;K000000Excel: &amp;F &amp;C&amp;"Calibri,Regular"&amp;K000000Page &amp;P of &amp;N&amp;R&amp;"Calibri,Regular"&amp;K000000Updated: DH 12/14/20</oddFooter>
  </headerFooter>
  <rowBreaks count="1" manualBreakCount="1">
    <brk id="37" max="16383" man="1"/>
  </rowBreaks>
  <ignoredErrors>
    <ignoredError sqref="D31 F20:G20 F27 L29 D29 F35 F2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8"/>
  <sheetViews>
    <sheetView topLeftCell="A7" zoomScale="142" zoomScaleNormal="142" workbookViewId="0">
      <selection activeCell="B18" sqref="B18"/>
    </sheetView>
  </sheetViews>
  <sheetFormatPr defaultColWidth="8.7109375" defaultRowHeight="15"/>
  <cols>
    <col min="1" max="1" width="6.140625" style="20" customWidth="1"/>
    <col min="2" max="2" width="113.85546875" style="21" customWidth="1"/>
    <col min="3" max="3" width="8.7109375" style="27"/>
    <col min="4" max="16384" width="8.7109375" style="21"/>
  </cols>
  <sheetData>
    <row r="1" spans="1:3" s="19" customFormat="1">
      <c r="A1" s="22" t="s">
        <v>8</v>
      </c>
      <c r="B1" s="23" t="s">
        <v>7</v>
      </c>
      <c r="C1" s="26"/>
    </row>
    <row r="2" spans="1:3">
      <c r="A2" s="24" t="s">
        <v>11</v>
      </c>
      <c r="B2" s="25" t="s">
        <v>33</v>
      </c>
    </row>
    <row r="3" spans="1:3">
      <c r="A3" s="24"/>
      <c r="B3" s="25" t="s">
        <v>12</v>
      </c>
    </row>
    <row r="4" spans="1:3">
      <c r="A4" s="24"/>
      <c r="B4" s="25"/>
    </row>
    <row r="5" spans="1:3">
      <c r="A5" s="24"/>
      <c r="B5" s="25" t="s">
        <v>50</v>
      </c>
    </row>
    <row r="6" spans="1:3" ht="30">
      <c r="A6" s="24"/>
      <c r="B6" s="25" t="s">
        <v>49</v>
      </c>
    </row>
    <row r="7" spans="1:3" ht="45">
      <c r="A7" s="24"/>
      <c r="B7" s="25" t="s">
        <v>51</v>
      </c>
    </row>
    <row r="8" spans="1:3">
      <c r="A8" s="24"/>
      <c r="B8" s="25"/>
    </row>
    <row r="9" spans="1:3">
      <c r="A9" s="24"/>
      <c r="B9" s="25" t="s">
        <v>57</v>
      </c>
    </row>
    <row r="10" spans="1:3">
      <c r="A10" s="24"/>
      <c r="B10" s="25"/>
    </row>
    <row r="11" spans="1:3">
      <c r="A11" s="24"/>
      <c r="B11" s="25" t="s">
        <v>61</v>
      </c>
    </row>
    <row r="12" spans="1:3">
      <c r="A12" s="24"/>
      <c r="B12" s="25"/>
    </row>
    <row r="13" spans="1:3">
      <c r="A13" s="24"/>
      <c r="B13" s="25" t="s">
        <v>67</v>
      </c>
    </row>
    <row r="14" spans="1:3">
      <c r="A14" s="24"/>
      <c r="B14" s="25"/>
    </row>
    <row r="15" spans="1:3">
      <c r="A15" s="24"/>
      <c r="B15" s="25" t="s">
        <v>71</v>
      </c>
    </row>
    <row r="16" spans="1:3">
      <c r="A16" s="24"/>
      <c r="B16" s="25"/>
    </row>
    <row r="17" spans="1:2">
      <c r="A17" s="24"/>
      <c r="B17" s="25" t="s">
        <v>96</v>
      </c>
    </row>
    <row r="18" spans="1:2">
      <c r="A18" s="24"/>
      <c r="B18" s="25"/>
    </row>
    <row r="19" spans="1:2">
      <c r="A19" s="24"/>
      <c r="B19" s="25"/>
    </row>
    <row r="20" spans="1:2">
      <c r="A20" s="24"/>
      <c r="B20" s="25"/>
    </row>
    <row r="21" spans="1:2">
      <c r="A21" s="24"/>
      <c r="B21" s="25"/>
    </row>
    <row r="22" spans="1:2">
      <c r="A22" s="24"/>
      <c r="B22" s="25"/>
    </row>
    <row r="23" spans="1:2">
      <c r="A23" s="24"/>
      <c r="B23" s="25"/>
    </row>
    <row r="24" spans="1:2">
      <c r="A24" s="24"/>
      <c r="B24" s="25"/>
    </row>
    <row r="25" spans="1:2">
      <c r="A25" s="24"/>
      <c r="B25" s="25"/>
    </row>
    <row r="26" spans="1:2">
      <c r="A26" s="24"/>
      <c r="B26" s="25"/>
    </row>
    <row r="27" spans="1:2">
      <c r="A27" s="24"/>
      <c r="B27" s="25"/>
    </row>
    <row r="28" spans="1:2">
      <c r="A28" s="24"/>
      <c r="B28" s="25"/>
    </row>
    <row r="29" spans="1:2">
      <c r="A29" s="24"/>
      <c r="B29" s="25"/>
    </row>
    <row r="30" spans="1:2">
      <c r="A30" s="24"/>
      <c r="B30" s="25"/>
    </row>
    <row r="31" spans="1:2">
      <c r="A31" s="24"/>
      <c r="B31" s="25"/>
    </row>
    <row r="32" spans="1:2">
      <c r="A32" s="24"/>
      <c r="B32" s="25"/>
    </row>
    <row r="33" spans="1:2">
      <c r="A33" s="24"/>
      <c r="B33" s="25"/>
    </row>
    <row r="34" spans="1:2">
      <c r="A34" s="24"/>
      <c r="B34" s="25"/>
    </row>
    <row r="35" spans="1:2">
      <c r="A35" s="24"/>
      <c r="B35" s="25"/>
    </row>
    <row r="36" spans="1:2">
      <c r="A36" s="24"/>
      <c r="B36" s="25"/>
    </row>
    <row r="37" spans="1:2">
      <c r="A37" s="24"/>
      <c r="B37" s="25"/>
    </row>
    <row r="38" spans="1:2">
      <c r="A38" s="24"/>
      <c r="B38" s="25"/>
    </row>
    <row r="39" spans="1:2">
      <c r="A39" s="24"/>
      <c r="B39" s="25"/>
    </row>
    <row r="40" spans="1:2">
      <c r="A40" s="24"/>
      <c r="B40" s="25"/>
    </row>
    <row r="41" spans="1:2">
      <c r="A41" s="24"/>
      <c r="B41" s="25"/>
    </row>
    <row r="42" spans="1:2">
      <c r="A42" s="24"/>
      <c r="B42" s="25"/>
    </row>
    <row r="43" spans="1:2">
      <c r="A43" s="24"/>
      <c r="B43" s="25"/>
    </row>
    <row r="44" spans="1:2">
      <c r="A44" s="24"/>
      <c r="B44" s="25"/>
    </row>
    <row r="45" spans="1:2">
      <c r="A45" s="24"/>
      <c r="B45" s="25"/>
    </row>
    <row r="46" spans="1:2">
      <c r="A46" s="24"/>
      <c r="B46" s="25"/>
    </row>
    <row r="47" spans="1:2">
      <c r="A47" s="24"/>
      <c r="B47" s="25"/>
    </row>
    <row r="48" spans="1:2">
      <c r="A48" s="24"/>
      <c r="B48" s="25"/>
    </row>
    <row r="49" spans="1:2">
      <c r="A49" s="24"/>
      <c r="B49" s="25"/>
    </row>
    <row r="50" spans="1:2">
      <c r="A50" s="24"/>
      <c r="B50" s="25"/>
    </row>
    <row r="51" spans="1:2">
      <c r="A51" s="24"/>
      <c r="B51" s="25"/>
    </row>
    <row r="52" spans="1:2">
      <c r="A52" s="24"/>
      <c r="B52" s="25"/>
    </row>
    <row r="53" spans="1:2">
      <c r="A53" s="24"/>
      <c r="B53" s="25"/>
    </row>
    <row r="54" spans="1:2">
      <c r="A54" s="24"/>
      <c r="B54" s="25"/>
    </row>
    <row r="55" spans="1:2">
      <c r="A55" s="24"/>
      <c r="B55" s="25"/>
    </row>
    <row r="56" spans="1:2">
      <c r="A56" s="24"/>
      <c r="B56" s="25"/>
    </row>
    <row r="57" spans="1:2">
      <c r="A57" s="24"/>
      <c r="B57" s="25"/>
    </row>
    <row r="58" spans="1:2">
      <c r="A58" s="24"/>
      <c r="B58" s="25"/>
    </row>
    <row r="59" spans="1:2">
      <c r="A59" s="24"/>
      <c r="B59" s="25"/>
    </row>
    <row r="60" spans="1:2">
      <c r="A60" s="24"/>
      <c r="B60" s="25"/>
    </row>
    <row r="61" spans="1:2">
      <c r="A61" s="24"/>
      <c r="B61" s="25"/>
    </row>
    <row r="62" spans="1:2">
      <c r="A62" s="24"/>
      <c r="B62" s="25"/>
    </row>
    <row r="63" spans="1:2">
      <c r="A63" s="24"/>
      <c r="B63" s="25"/>
    </row>
    <row r="64" spans="1:2">
      <c r="A64" s="24"/>
      <c r="B64" s="25"/>
    </row>
    <row r="65" spans="1:2">
      <c r="A65" s="24"/>
      <c r="B65" s="25"/>
    </row>
    <row r="66" spans="1:2">
      <c r="A66" s="24"/>
      <c r="B66" s="25"/>
    </row>
    <row r="67" spans="1:2">
      <c r="A67" s="24"/>
      <c r="B67" s="25"/>
    </row>
    <row r="68" spans="1:2">
      <c r="A68" s="24"/>
      <c r="B68" s="25"/>
    </row>
    <row r="69" spans="1:2">
      <c r="A69" s="24"/>
      <c r="B69" s="25"/>
    </row>
    <row r="70" spans="1:2">
      <c r="A70" s="24"/>
      <c r="B70" s="25"/>
    </row>
    <row r="71" spans="1:2">
      <c r="A71" s="24"/>
      <c r="B71" s="25"/>
    </row>
    <row r="72" spans="1:2">
      <c r="A72" s="24"/>
      <c r="B72" s="25"/>
    </row>
    <row r="73" spans="1:2">
      <c r="A73" s="24"/>
      <c r="B73" s="25"/>
    </row>
    <row r="74" spans="1:2">
      <c r="A74" s="24"/>
      <c r="B74" s="25"/>
    </row>
    <row r="75" spans="1:2">
      <c r="A75" s="24"/>
      <c r="B75" s="25"/>
    </row>
    <row r="76" spans="1:2">
      <c r="A76" s="24"/>
      <c r="B76" s="25"/>
    </row>
    <row r="77" spans="1:2">
      <c r="A77" s="24"/>
      <c r="B77" s="25"/>
    </row>
    <row r="78" spans="1:2">
      <c r="A78" s="24"/>
      <c r="B78" s="25"/>
    </row>
    <row r="79" spans="1:2">
      <c r="A79" s="24"/>
      <c r="B79" s="25"/>
    </row>
    <row r="80" spans="1:2">
      <c r="A80" s="24"/>
      <c r="B80" s="25"/>
    </row>
    <row r="81" spans="1:2">
      <c r="A81" s="24"/>
      <c r="B81" s="25"/>
    </row>
    <row r="82" spans="1:2">
      <c r="A82" s="24"/>
      <c r="B82" s="25"/>
    </row>
    <row r="83" spans="1:2">
      <c r="A83" s="24"/>
      <c r="B83" s="25"/>
    </row>
    <row r="84" spans="1:2">
      <c r="A84" s="24"/>
      <c r="B84" s="25"/>
    </row>
    <row r="85" spans="1:2">
      <c r="A85" s="24"/>
      <c r="B85" s="25"/>
    </row>
    <row r="86" spans="1:2">
      <c r="A86" s="24"/>
      <c r="B86" s="25"/>
    </row>
    <row r="87" spans="1:2">
      <c r="A87" s="24"/>
      <c r="B87" s="25"/>
    </row>
    <row r="88" spans="1:2">
      <c r="A88" s="24"/>
      <c r="B88" s="25"/>
    </row>
    <row r="89" spans="1:2">
      <c r="A89" s="24"/>
      <c r="B89" s="25"/>
    </row>
    <row r="90" spans="1:2">
      <c r="A90" s="24"/>
      <c r="B90" s="25"/>
    </row>
    <row r="91" spans="1:2">
      <c r="A91" s="24"/>
      <c r="B91" s="25"/>
    </row>
    <row r="92" spans="1:2">
      <c r="A92" s="24"/>
      <c r="B92" s="25"/>
    </row>
    <row r="93" spans="1:2">
      <c r="A93" s="24"/>
      <c r="B93" s="25"/>
    </row>
    <row r="94" spans="1:2">
      <c r="A94" s="24"/>
      <c r="B94" s="25"/>
    </row>
    <row r="95" spans="1:2">
      <c r="A95" s="24"/>
      <c r="B95" s="25"/>
    </row>
    <row r="96" spans="1:2">
      <c r="A96" s="24"/>
      <c r="B96" s="25"/>
    </row>
    <row r="97" spans="1:2">
      <c r="A97" s="24"/>
      <c r="B97" s="25"/>
    </row>
    <row r="98" spans="1:2">
      <c r="A98" s="24"/>
      <c r="B98" s="25"/>
    </row>
    <row r="99" spans="1:2">
      <c r="A99" s="24"/>
      <c r="B99" s="25"/>
    </row>
    <row r="100" spans="1:2">
      <c r="A100" s="24"/>
      <c r="B100" s="25"/>
    </row>
    <row r="101" spans="1:2">
      <c r="A101" s="24"/>
      <c r="B101" s="25"/>
    </row>
    <row r="102" spans="1:2">
      <c r="A102" s="24"/>
      <c r="B102" s="25"/>
    </row>
    <row r="103" spans="1:2">
      <c r="A103" s="24"/>
      <c r="B103" s="25"/>
    </row>
    <row r="104" spans="1:2">
      <c r="A104" s="24"/>
      <c r="B104" s="25"/>
    </row>
    <row r="105" spans="1:2">
      <c r="A105" s="24"/>
      <c r="B105" s="25"/>
    </row>
    <row r="106" spans="1:2">
      <c r="A106" s="24"/>
      <c r="B106" s="25"/>
    </row>
    <row r="107" spans="1:2">
      <c r="A107" s="24"/>
      <c r="B107" s="25"/>
    </row>
    <row r="108" spans="1:2">
      <c r="A108" s="24"/>
      <c r="B108" s="25"/>
    </row>
    <row r="109" spans="1:2">
      <c r="A109" s="24"/>
      <c r="B109" s="25"/>
    </row>
    <row r="110" spans="1:2">
      <c r="A110" s="24"/>
      <c r="B110" s="25"/>
    </row>
    <row r="111" spans="1:2">
      <c r="A111" s="24"/>
      <c r="B111" s="25"/>
    </row>
    <row r="112" spans="1:2">
      <c r="A112" s="24"/>
      <c r="B112" s="25"/>
    </row>
    <row r="113" spans="1:2">
      <c r="A113" s="24"/>
      <c r="B113" s="25"/>
    </row>
    <row r="114" spans="1:2">
      <c r="A114" s="24"/>
      <c r="B114" s="25"/>
    </row>
    <row r="115" spans="1:2">
      <c r="A115" s="24"/>
      <c r="B115" s="25"/>
    </row>
    <row r="116" spans="1:2">
      <c r="A116" s="24"/>
      <c r="B116" s="25"/>
    </row>
    <row r="117" spans="1:2">
      <c r="A117" s="24"/>
      <c r="B117" s="25"/>
    </row>
    <row r="118" spans="1:2">
      <c r="A118" s="24"/>
      <c r="B118" s="25"/>
    </row>
    <row r="119" spans="1:2">
      <c r="A119" s="24"/>
      <c r="B119" s="25"/>
    </row>
    <row r="120" spans="1:2">
      <c r="A120" s="24"/>
      <c r="B120" s="25"/>
    </row>
    <row r="121" spans="1:2">
      <c r="A121" s="24"/>
      <c r="B121" s="25"/>
    </row>
    <row r="122" spans="1:2">
      <c r="A122" s="24"/>
      <c r="B122" s="25"/>
    </row>
    <row r="123" spans="1:2">
      <c r="A123" s="24"/>
      <c r="B123" s="25"/>
    </row>
    <row r="124" spans="1:2">
      <c r="A124" s="24"/>
      <c r="B124" s="25"/>
    </row>
    <row r="125" spans="1:2">
      <c r="A125" s="24"/>
      <c r="B125" s="25"/>
    </row>
    <row r="126" spans="1:2">
      <c r="A126" s="24"/>
      <c r="B126" s="25"/>
    </row>
    <row r="127" spans="1:2">
      <c r="A127" s="24"/>
      <c r="B127" s="25"/>
    </row>
    <row r="128" spans="1:2">
      <c r="A128" s="24"/>
      <c r="B128" s="25"/>
    </row>
    <row r="129" spans="1:2">
      <c r="A129" s="24"/>
      <c r="B129" s="25"/>
    </row>
    <row r="130" spans="1:2">
      <c r="A130" s="24"/>
      <c r="B130" s="25"/>
    </row>
    <row r="131" spans="1:2">
      <c r="A131" s="24"/>
      <c r="B131" s="25"/>
    </row>
    <row r="132" spans="1:2">
      <c r="A132" s="24"/>
      <c r="B132" s="25"/>
    </row>
    <row r="133" spans="1:2">
      <c r="A133" s="24"/>
      <c r="B133" s="25"/>
    </row>
    <row r="134" spans="1:2">
      <c r="A134" s="24"/>
      <c r="B134" s="25"/>
    </row>
    <row r="135" spans="1:2">
      <c r="A135" s="24"/>
      <c r="B135" s="25"/>
    </row>
    <row r="136" spans="1:2">
      <c r="A136" s="24"/>
      <c r="B136" s="25"/>
    </row>
    <row r="137" spans="1:2">
      <c r="A137" s="24"/>
      <c r="B137" s="25"/>
    </row>
    <row r="138" spans="1:2">
      <c r="A138" s="24"/>
      <c r="B138" s="25"/>
    </row>
    <row r="139" spans="1:2">
      <c r="A139" s="24"/>
      <c r="B139" s="25"/>
    </row>
    <row r="140" spans="1:2">
      <c r="A140" s="24"/>
      <c r="B140" s="25"/>
    </row>
    <row r="141" spans="1:2">
      <c r="A141" s="24"/>
      <c r="B141" s="25"/>
    </row>
    <row r="142" spans="1:2">
      <c r="A142" s="24"/>
      <c r="B142" s="25"/>
    </row>
    <row r="143" spans="1:2">
      <c r="A143" s="24"/>
      <c r="B143" s="25"/>
    </row>
    <row r="144" spans="1:2">
      <c r="A144" s="24"/>
      <c r="B144" s="25"/>
    </row>
    <row r="145" spans="1:2">
      <c r="A145" s="24"/>
      <c r="B145" s="25"/>
    </row>
    <row r="146" spans="1:2">
      <c r="A146" s="24"/>
      <c r="B146" s="25"/>
    </row>
    <row r="147" spans="1:2">
      <c r="A147" s="24"/>
      <c r="B147" s="25"/>
    </row>
    <row r="148" spans="1:2">
      <c r="A148" s="24"/>
      <c r="B148" s="25"/>
    </row>
    <row r="149" spans="1:2">
      <c r="A149" s="24"/>
      <c r="B149" s="25"/>
    </row>
    <row r="150" spans="1:2">
      <c r="A150" s="24"/>
      <c r="B150" s="25"/>
    </row>
    <row r="151" spans="1:2">
      <c r="A151" s="24"/>
      <c r="B151" s="25"/>
    </row>
    <row r="152" spans="1:2">
      <c r="A152" s="24"/>
      <c r="B152" s="25"/>
    </row>
    <row r="153" spans="1:2">
      <c r="A153" s="24"/>
      <c r="B153" s="25"/>
    </row>
    <row r="154" spans="1:2">
      <c r="A154" s="24"/>
      <c r="B154" s="25"/>
    </row>
    <row r="155" spans="1:2">
      <c r="A155" s="24"/>
      <c r="B155" s="25"/>
    </row>
    <row r="156" spans="1:2">
      <c r="A156" s="24"/>
      <c r="B156" s="25"/>
    </row>
    <row r="157" spans="1:2">
      <c r="A157" s="24"/>
      <c r="B157" s="25"/>
    </row>
    <row r="158" spans="1:2">
      <c r="A158" s="24"/>
      <c r="B158" s="25"/>
    </row>
    <row r="159" spans="1:2">
      <c r="A159" s="24"/>
      <c r="B159" s="25"/>
    </row>
    <row r="160" spans="1:2">
      <c r="A160" s="24"/>
      <c r="B160" s="25"/>
    </row>
    <row r="161" spans="1:2">
      <c r="A161" s="24"/>
      <c r="B161" s="25"/>
    </row>
    <row r="162" spans="1:2">
      <c r="A162" s="24"/>
      <c r="B162" s="25"/>
    </row>
    <row r="163" spans="1:2">
      <c r="A163" s="24"/>
      <c r="B163" s="25"/>
    </row>
    <row r="164" spans="1:2">
      <c r="A164" s="24"/>
      <c r="B164" s="25"/>
    </row>
    <row r="165" spans="1:2">
      <c r="A165" s="24"/>
      <c r="B165" s="25"/>
    </row>
    <row r="166" spans="1:2">
      <c r="A166" s="24"/>
      <c r="B166" s="25"/>
    </row>
    <row r="167" spans="1:2">
      <c r="A167" s="24"/>
      <c r="B167" s="25"/>
    </row>
    <row r="168" spans="1:2">
      <c r="A168" s="24"/>
      <c r="B168" s="25"/>
    </row>
    <row r="169" spans="1:2">
      <c r="A169" s="24"/>
      <c r="B169" s="25"/>
    </row>
    <row r="170" spans="1:2">
      <c r="A170" s="24"/>
      <c r="B170" s="25"/>
    </row>
    <row r="171" spans="1:2">
      <c r="A171" s="24"/>
      <c r="B171" s="25"/>
    </row>
    <row r="172" spans="1:2">
      <c r="A172" s="24"/>
      <c r="B172" s="25"/>
    </row>
    <row r="173" spans="1:2">
      <c r="A173" s="24"/>
      <c r="B173" s="25"/>
    </row>
    <row r="174" spans="1:2">
      <c r="A174" s="24"/>
      <c r="B174" s="25"/>
    </row>
    <row r="175" spans="1:2">
      <c r="A175" s="24"/>
      <c r="B175" s="25"/>
    </row>
    <row r="176" spans="1:2">
      <c r="A176" s="24"/>
      <c r="B176" s="25"/>
    </row>
    <row r="177" spans="1:2">
      <c r="A177" s="24"/>
      <c r="B177" s="25"/>
    </row>
    <row r="178" spans="1:2">
      <c r="A178" s="24"/>
      <c r="B178" s="25"/>
    </row>
    <row r="179" spans="1:2">
      <c r="A179" s="24"/>
      <c r="B179" s="25"/>
    </row>
    <row r="180" spans="1:2">
      <c r="A180" s="24"/>
      <c r="B180" s="25"/>
    </row>
    <row r="181" spans="1:2">
      <c r="A181" s="24"/>
      <c r="B181" s="25"/>
    </row>
    <row r="182" spans="1:2">
      <c r="A182" s="24"/>
      <c r="B182" s="25"/>
    </row>
    <row r="183" spans="1:2">
      <c r="A183" s="24"/>
      <c r="B183" s="25"/>
    </row>
    <row r="184" spans="1:2">
      <c r="A184" s="24"/>
      <c r="B184" s="25"/>
    </row>
    <row r="185" spans="1:2">
      <c r="A185" s="24"/>
      <c r="B185" s="25"/>
    </row>
    <row r="186" spans="1:2">
      <c r="A186" s="24"/>
      <c r="B186" s="25"/>
    </row>
    <row r="187" spans="1:2">
      <c r="A187" s="24"/>
      <c r="B187" s="25"/>
    </row>
    <row r="188" spans="1:2">
      <c r="A188" s="24"/>
      <c r="B188" s="25"/>
    </row>
    <row r="189" spans="1:2">
      <c r="A189" s="24"/>
      <c r="B189" s="25"/>
    </row>
    <row r="190" spans="1:2">
      <c r="A190" s="24"/>
      <c r="B190" s="25"/>
    </row>
    <row r="191" spans="1:2">
      <c r="A191" s="24"/>
      <c r="B191" s="25"/>
    </row>
    <row r="192" spans="1:2">
      <c r="A192" s="24"/>
      <c r="B192" s="25"/>
    </row>
    <row r="193" spans="1:2">
      <c r="A193" s="24"/>
      <c r="B193" s="25"/>
    </row>
    <row r="194" spans="1:2">
      <c r="A194" s="24"/>
      <c r="B194" s="25"/>
    </row>
    <row r="195" spans="1:2">
      <c r="A195" s="24"/>
      <c r="B195" s="25"/>
    </row>
    <row r="196" spans="1:2">
      <c r="A196" s="24"/>
      <c r="B196" s="25"/>
    </row>
    <row r="197" spans="1:2">
      <c r="A197" s="24"/>
      <c r="B197" s="25"/>
    </row>
    <row r="198" spans="1:2">
      <c r="A198" s="24"/>
      <c r="B198" s="25"/>
    </row>
    <row r="199" spans="1:2">
      <c r="A199" s="24"/>
      <c r="B199" s="25"/>
    </row>
    <row r="200" spans="1:2">
      <c r="A200" s="24"/>
      <c r="B200" s="25"/>
    </row>
    <row r="201" spans="1:2">
      <c r="A201" s="24"/>
      <c r="B201" s="25"/>
    </row>
    <row r="202" spans="1:2">
      <c r="A202" s="24"/>
      <c r="B202" s="25"/>
    </row>
    <row r="203" spans="1:2">
      <c r="A203" s="24"/>
      <c r="B203" s="25"/>
    </row>
    <row r="204" spans="1:2">
      <c r="A204" s="24"/>
      <c r="B204" s="25"/>
    </row>
    <row r="205" spans="1:2">
      <c r="A205" s="24"/>
      <c r="B205" s="25"/>
    </row>
    <row r="206" spans="1:2">
      <c r="A206" s="24"/>
      <c r="B206" s="25"/>
    </row>
    <row r="207" spans="1:2">
      <c r="A207" s="24"/>
      <c r="B207" s="25"/>
    </row>
    <row r="208" spans="1:2">
      <c r="A208" s="24"/>
      <c r="B208" s="25"/>
    </row>
    <row r="209" spans="1:2">
      <c r="A209" s="24"/>
      <c r="B209" s="25"/>
    </row>
    <row r="210" spans="1:2">
      <c r="A210" s="24"/>
      <c r="B210" s="25"/>
    </row>
    <row r="211" spans="1:2">
      <c r="A211" s="24"/>
      <c r="B211" s="25"/>
    </row>
    <row r="212" spans="1:2">
      <c r="A212" s="24"/>
      <c r="B212" s="25"/>
    </row>
    <row r="213" spans="1:2">
      <c r="A213" s="24"/>
      <c r="B213" s="25"/>
    </row>
    <row r="214" spans="1:2">
      <c r="A214" s="24"/>
      <c r="B214" s="25"/>
    </row>
    <row r="215" spans="1:2">
      <c r="A215" s="24"/>
      <c r="B215" s="25"/>
    </row>
    <row r="216" spans="1:2">
      <c r="A216" s="24"/>
      <c r="B216" s="25"/>
    </row>
    <row r="217" spans="1:2">
      <c r="A217" s="24"/>
      <c r="B217" s="25"/>
    </row>
    <row r="218" spans="1:2">
      <c r="A218" s="24"/>
      <c r="B218" s="25"/>
    </row>
    <row r="219" spans="1:2">
      <c r="A219" s="24"/>
      <c r="B219" s="25"/>
    </row>
    <row r="220" spans="1:2">
      <c r="A220" s="24"/>
      <c r="B220" s="25"/>
    </row>
    <row r="221" spans="1:2">
      <c r="A221" s="24"/>
      <c r="B221" s="25"/>
    </row>
    <row r="222" spans="1:2">
      <c r="A222" s="24"/>
      <c r="B222" s="25"/>
    </row>
    <row r="223" spans="1:2">
      <c r="A223" s="24"/>
      <c r="B223" s="25"/>
    </row>
    <row r="224" spans="1:2">
      <c r="A224" s="24"/>
      <c r="B224" s="25"/>
    </row>
    <row r="225" spans="1:2">
      <c r="A225" s="24"/>
      <c r="B225" s="25"/>
    </row>
    <row r="226" spans="1:2">
      <c r="A226" s="24"/>
      <c r="B226" s="25"/>
    </row>
    <row r="227" spans="1:2">
      <c r="A227" s="24"/>
      <c r="B227" s="25"/>
    </row>
    <row r="228" spans="1:2">
      <c r="A228" s="24"/>
      <c r="B228" s="25"/>
    </row>
    <row r="229" spans="1:2">
      <c r="A229" s="24"/>
      <c r="B229" s="25"/>
    </row>
    <row r="230" spans="1:2">
      <c r="A230" s="24"/>
      <c r="B230" s="25"/>
    </row>
    <row r="231" spans="1:2">
      <c r="A231" s="24"/>
      <c r="B231" s="25"/>
    </row>
    <row r="232" spans="1:2">
      <c r="A232" s="24"/>
      <c r="B232" s="25"/>
    </row>
    <row r="233" spans="1:2">
      <c r="A233" s="24"/>
      <c r="B233" s="25"/>
    </row>
    <row r="234" spans="1:2">
      <c r="A234" s="24"/>
      <c r="B234" s="25"/>
    </row>
    <row r="235" spans="1:2">
      <c r="A235" s="24"/>
      <c r="B235" s="25"/>
    </row>
    <row r="236" spans="1:2">
      <c r="A236" s="24"/>
      <c r="B236" s="25"/>
    </row>
    <row r="237" spans="1:2">
      <c r="A237" s="24"/>
      <c r="B237" s="25"/>
    </row>
    <row r="238" spans="1:2">
      <c r="A238" s="24"/>
      <c r="B238" s="25"/>
    </row>
    <row r="239" spans="1:2">
      <c r="A239" s="24"/>
      <c r="B239" s="25"/>
    </row>
    <row r="240" spans="1:2">
      <c r="A240" s="24"/>
      <c r="B240" s="25"/>
    </row>
    <row r="241" spans="1:2">
      <c r="A241" s="24"/>
      <c r="B241" s="25"/>
    </row>
    <row r="242" spans="1:2">
      <c r="A242" s="24"/>
      <c r="B242" s="25"/>
    </row>
    <row r="243" spans="1:2">
      <c r="A243" s="24"/>
      <c r="B243" s="25"/>
    </row>
    <row r="244" spans="1:2">
      <c r="A244" s="24"/>
      <c r="B244" s="25"/>
    </row>
    <row r="245" spans="1:2">
      <c r="A245" s="24"/>
      <c r="B245" s="25"/>
    </row>
    <row r="246" spans="1:2">
      <c r="A246" s="24"/>
      <c r="B246" s="25"/>
    </row>
    <row r="247" spans="1:2">
      <c r="A247" s="24"/>
      <c r="B247" s="25"/>
    </row>
    <row r="248" spans="1:2">
      <c r="A248" s="24"/>
      <c r="B248" s="25"/>
    </row>
    <row r="249" spans="1:2">
      <c r="A249" s="24"/>
      <c r="B249" s="25"/>
    </row>
    <row r="250" spans="1:2">
      <c r="A250" s="24"/>
      <c r="B250" s="25"/>
    </row>
    <row r="251" spans="1:2">
      <c r="A251" s="24"/>
      <c r="B251" s="25"/>
    </row>
    <row r="252" spans="1:2">
      <c r="A252" s="24"/>
      <c r="B252" s="25"/>
    </row>
    <row r="253" spans="1:2">
      <c r="A253" s="24"/>
      <c r="B253" s="25"/>
    </row>
    <row r="254" spans="1:2">
      <c r="A254" s="24"/>
      <c r="B254" s="25"/>
    </row>
    <row r="255" spans="1:2">
      <c r="A255" s="24"/>
      <c r="B255" s="25"/>
    </row>
    <row r="256" spans="1:2">
      <c r="A256" s="24"/>
      <c r="B256" s="25"/>
    </row>
    <row r="257" spans="1:2">
      <c r="A257" s="24"/>
      <c r="B257" s="25"/>
    </row>
    <row r="258" spans="1:2">
      <c r="A258" s="24"/>
      <c r="B258" s="25"/>
    </row>
    <row r="259" spans="1:2">
      <c r="A259" s="24"/>
      <c r="B259" s="25"/>
    </row>
    <row r="260" spans="1:2">
      <c r="A260" s="24"/>
      <c r="B260" s="25"/>
    </row>
    <row r="261" spans="1:2">
      <c r="A261" s="24"/>
      <c r="B261" s="25"/>
    </row>
    <row r="262" spans="1:2">
      <c r="A262" s="24"/>
      <c r="B262" s="25"/>
    </row>
    <row r="263" spans="1:2">
      <c r="A263" s="24"/>
      <c r="B263" s="25"/>
    </row>
    <row r="264" spans="1:2">
      <c r="A264" s="24"/>
      <c r="B264" s="25"/>
    </row>
    <row r="265" spans="1:2">
      <c r="A265" s="24"/>
      <c r="B265" s="25"/>
    </row>
    <row r="266" spans="1:2">
      <c r="A266" s="24"/>
      <c r="B266" s="25"/>
    </row>
    <row r="267" spans="1:2">
      <c r="A267" s="24"/>
      <c r="B267" s="25"/>
    </row>
    <row r="268" spans="1:2">
      <c r="A268" s="24"/>
      <c r="B268" s="25"/>
    </row>
    <row r="269" spans="1:2">
      <c r="A269" s="24"/>
      <c r="B269" s="25"/>
    </row>
    <row r="270" spans="1:2">
      <c r="A270" s="24"/>
      <c r="B270" s="25"/>
    </row>
    <row r="271" spans="1:2">
      <c r="A271" s="24"/>
      <c r="B271" s="25"/>
    </row>
    <row r="272" spans="1:2">
      <c r="A272" s="24"/>
      <c r="B272" s="25"/>
    </row>
    <row r="273" spans="1:2">
      <c r="A273" s="24"/>
      <c r="B273" s="25"/>
    </row>
    <row r="274" spans="1:2">
      <c r="A274" s="24"/>
      <c r="B274" s="25"/>
    </row>
    <row r="275" spans="1:2">
      <c r="A275" s="24"/>
      <c r="B275" s="25"/>
    </row>
    <row r="276" spans="1:2">
      <c r="A276" s="24"/>
      <c r="B276" s="25"/>
    </row>
    <row r="277" spans="1:2">
      <c r="A277" s="24"/>
      <c r="B277" s="25"/>
    </row>
    <row r="278" spans="1:2">
      <c r="A278" s="24"/>
      <c r="B278" s="25"/>
    </row>
    <row r="279" spans="1:2">
      <c r="A279" s="24"/>
      <c r="B279" s="25"/>
    </row>
    <row r="280" spans="1:2">
      <c r="A280" s="24"/>
      <c r="B280" s="25"/>
    </row>
    <row r="281" spans="1:2">
      <c r="A281" s="24"/>
      <c r="B281" s="25"/>
    </row>
    <row r="282" spans="1:2">
      <c r="A282" s="24"/>
      <c r="B282" s="25"/>
    </row>
    <row r="283" spans="1:2">
      <c r="A283" s="24"/>
      <c r="B283" s="25"/>
    </row>
    <row r="284" spans="1:2">
      <c r="A284" s="24"/>
      <c r="B284" s="25"/>
    </row>
    <row r="285" spans="1:2">
      <c r="A285" s="24"/>
      <c r="B285" s="25"/>
    </row>
    <row r="286" spans="1:2">
      <c r="A286" s="24"/>
      <c r="B286" s="25"/>
    </row>
    <row r="287" spans="1:2">
      <c r="A287" s="24"/>
      <c r="B287" s="25"/>
    </row>
    <row r="288" spans="1:2">
      <c r="A288" s="24"/>
      <c r="B288" s="25"/>
    </row>
    <row r="289" spans="1:2">
      <c r="A289" s="24"/>
      <c r="B289" s="25"/>
    </row>
    <row r="290" spans="1:2">
      <c r="A290" s="24"/>
      <c r="B290" s="25"/>
    </row>
    <row r="291" spans="1:2">
      <c r="A291" s="24"/>
      <c r="B291" s="25"/>
    </row>
    <row r="292" spans="1:2">
      <c r="A292" s="24"/>
      <c r="B292" s="25"/>
    </row>
    <row r="293" spans="1:2">
      <c r="A293" s="24"/>
      <c r="B293" s="25"/>
    </row>
    <row r="294" spans="1:2">
      <c r="A294" s="24"/>
      <c r="B294" s="25"/>
    </row>
    <row r="295" spans="1:2">
      <c r="A295" s="24"/>
      <c r="B295" s="25"/>
    </row>
    <row r="296" spans="1:2">
      <c r="A296" s="24"/>
      <c r="B296" s="25"/>
    </row>
    <row r="297" spans="1:2">
      <c r="A297" s="24"/>
      <c r="B297" s="25"/>
    </row>
    <row r="298" spans="1:2">
      <c r="A298" s="24"/>
      <c r="B298" s="25"/>
    </row>
    <row r="299" spans="1:2">
      <c r="A299" s="24"/>
      <c r="B299" s="25"/>
    </row>
    <row r="300" spans="1:2">
      <c r="A300" s="24"/>
      <c r="B300" s="25"/>
    </row>
    <row r="301" spans="1:2">
      <c r="A301" s="24"/>
      <c r="B301" s="25"/>
    </row>
    <row r="302" spans="1:2">
      <c r="A302" s="24"/>
      <c r="B302" s="25"/>
    </row>
    <row r="303" spans="1:2">
      <c r="A303" s="24"/>
      <c r="B303" s="25"/>
    </row>
    <row r="304" spans="1:2">
      <c r="A304" s="24"/>
      <c r="B304" s="25"/>
    </row>
    <row r="305" spans="1:2">
      <c r="A305" s="24"/>
      <c r="B305" s="25"/>
    </row>
    <row r="306" spans="1:2">
      <c r="A306" s="24"/>
      <c r="B306" s="25"/>
    </row>
    <row r="307" spans="1:2">
      <c r="A307" s="24"/>
      <c r="B307" s="25"/>
    </row>
    <row r="308" spans="1:2">
      <c r="A308" s="24"/>
      <c r="B308" s="25"/>
    </row>
    <row r="309" spans="1:2">
      <c r="A309" s="24"/>
      <c r="B309" s="25"/>
    </row>
    <row r="310" spans="1:2">
      <c r="A310" s="24"/>
      <c r="B310" s="25"/>
    </row>
    <row r="311" spans="1:2">
      <c r="A311" s="24"/>
      <c r="B311" s="25"/>
    </row>
    <row r="312" spans="1:2">
      <c r="A312" s="24"/>
      <c r="B312" s="25"/>
    </row>
    <row r="313" spans="1:2">
      <c r="A313" s="24"/>
      <c r="B313" s="25"/>
    </row>
    <row r="314" spans="1:2">
      <c r="A314" s="24"/>
      <c r="B314" s="25"/>
    </row>
    <row r="315" spans="1:2">
      <c r="A315" s="24"/>
      <c r="B315" s="25"/>
    </row>
    <row r="316" spans="1:2">
      <c r="A316" s="24"/>
      <c r="B316" s="25"/>
    </row>
    <row r="317" spans="1:2">
      <c r="A317" s="24"/>
      <c r="B317" s="25"/>
    </row>
    <row r="318" spans="1:2">
      <c r="A318" s="24"/>
      <c r="B318" s="25"/>
    </row>
    <row r="319" spans="1:2">
      <c r="A319" s="24"/>
      <c r="B319" s="25"/>
    </row>
    <row r="320" spans="1:2">
      <c r="A320" s="24"/>
      <c r="B320" s="25"/>
    </row>
    <row r="321" spans="1:2">
      <c r="A321" s="24"/>
      <c r="B321" s="25"/>
    </row>
    <row r="322" spans="1:2">
      <c r="A322" s="24"/>
      <c r="B322" s="25"/>
    </row>
    <row r="323" spans="1:2">
      <c r="A323" s="24"/>
      <c r="B323" s="25"/>
    </row>
    <row r="324" spans="1:2">
      <c r="A324" s="24"/>
      <c r="B324" s="25"/>
    </row>
    <row r="325" spans="1:2">
      <c r="A325" s="24"/>
      <c r="B325" s="25"/>
    </row>
    <row r="326" spans="1:2">
      <c r="A326" s="24"/>
      <c r="B326" s="25"/>
    </row>
    <row r="327" spans="1:2">
      <c r="A327" s="24"/>
      <c r="B327" s="25"/>
    </row>
    <row r="328" spans="1:2">
      <c r="A328" s="24"/>
      <c r="B328" s="25"/>
    </row>
    <row r="329" spans="1:2">
      <c r="A329" s="24"/>
      <c r="B329" s="25"/>
    </row>
    <row r="330" spans="1:2">
      <c r="A330" s="24"/>
      <c r="B330" s="25"/>
    </row>
    <row r="331" spans="1:2">
      <c r="A331" s="24"/>
      <c r="B331" s="25"/>
    </row>
    <row r="332" spans="1:2">
      <c r="A332" s="24"/>
      <c r="B332" s="25"/>
    </row>
    <row r="333" spans="1:2">
      <c r="A333" s="24"/>
      <c r="B333" s="25"/>
    </row>
    <row r="334" spans="1:2">
      <c r="A334" s="24"/>
      <c r="B334" s="25"/>
    </row>
    <row r="335" spans="1:2">
      <c r="A335" s="24"/>
      <c r="B335" s="25"/>
    </row>
    <row r="336" spans="1:2">
      <c r="A336" s="24"/>
      <c r="B336" s="25"/>
    </row>
    <row r="337" spans="1:2">
      <c r="A337" s="24"/>
      <c r="B337" s="25"/>
    </row>
    <row r="338" spans="1:2">
      <c r="A338" s="24"/>
      <c r="B338" s="25"/>
    </row>
    <row r="339" spans="1:2">
      <c r="A339" s="24"/>
      <c r="B339" s="25"/>
    </row>
    <row r="340" spans="1:2">
      <c r="A340" s="24"/>
      <c r="B340" s="25"/>
    </row>
    <row r="341" spans="1:2">
      <c r="A341" s="24"/>
      <c r="B341" s="25"/>
    </row>
    <row r="342" spans="1:2">
      <c r="A342" s="24"/>
      <c r="B342" s="25"/>
    </row>
    <row r="343" spans="1:2">
      <c r="A343" s="24"/>
      <c r="B343" s="25"/>
    </row>
    <row r="344" spans="1:2">
      <c r="A344" s="24"/>
      <c r="B344" s="25"/>
    </row>
    <row r="345" spans="1:2">
      <c r="A345" s="24"/>
      <c r="B345" s="25"/>
    </row>
    <row r="346" spans="1:2">
      <c r="A346" s="24"/>
      <c r="B346" s="25"/>
    </row>
    <row r="347" spans="1:2">
      <c r="A347" s="24"/>
      <c r="B347" s="25"/>
    </row>
    <row r="348" spans="1:2">
      <c r="A348" s="24"/>
      <c r="B348" s="25"/>
    </row>
    <row r="349" spans="1:2">
      <c r="A349" s="24"/>
      <c r="B349" s="25"/>
    </row>
    <row r="350" spans="1:2">
      <c r="A350" s="24"/>
      <c r="B350" s="25"/>
    </row>
    <row r="351" spans="1:2">
      <c r="A351" s="24"/>
      <c r="B351" s="25"/>
    </row>
    <row r="352" spans="1:2">
      <c r="A352" s="24"/>
      <c r="B352" s="25"/>
    </row>
    <row r="353" spans="1:2">
      <c r="A353" s="24"/>
      <c r="B353" s="25"/>
    </row>
    <row r="354" spans="1:2">
      <c r="A354" s="24"/>
      <c r="B354" s="25"/>
    </row>
    <row r="355" spans="1:2">
      <c r="A355" s="24"/>
      <c r="B355" s="25"/>
    </row>
    <row r="356" spans="1:2">
      <c r="A356" s="24"/>
      <c r="B356" s="25"/>
    </row>
    <row r="357" spans="1:2">
      <c r="A357" s="24"/>
      <c r="B357" s="25"/>
    </row>
    <row r="358" spans="1:2">
      <c r="A358" s="24"/>
      <c r="B358" s="25"/>
    </row>
    <row r="359" spans="1:2">
      <c r="A359" s="24"/>
      <c r="B359" s="25"/>
    </row>
    <row r="360" spans="1:2">
      <c r="A360" s="24"/>
      <c r="B360" s="25"/>
    </row>
    <row r="361" spans="1:2">
      <c r="A361" s="24"/>
      <c r="B361" s="25"/>
    </row>
    <row r="362" spans="1:2">
      <c r="A362" s="24"/>
      <c r="B362" s="25"/>
    </row>
    <row r="363" spans="1:2">
      <c r="A363" s="24"/>
      <c r="B363" s="25"/>
    </row>
    <row r="364" spans="1:2">
      <c r="A364" s="24"/>
      <c r="B364" s="25"/>
    </row>
    <row r="365" spans="1:2">
      <c r="A365" s="24"/>
      <c r="B365" s="25"/>
    </row>
    <row r="366" spans="1:2">
      <c r="A366" s="24"/>
      <c r="B366" s="25"/>
    </row>
    <row r="367" spans="1:2">
      <c r="A367" s="24"/>
      <c r="B367" s="25"/>
    </row>
    <row r="368" spans="1:2">
      <c r="A368" s="24"/>
      <c r="B368" s="25"/>
    </row>
    <row r="369" spans="1:2">
      <c r="A369" s="24"/>
      <c r="B369" s="25"/>
    </row>
    <row r="370" spans="1:2">
      <c r="A370" s="24"/>
      <c r="B370" s="25"/>
    </row>
    <row r="371" spans="1:2">
      <c r="A371" s="24"/>
      <c r="B371" s="25"/>
    </row>
    <row r="372" spans="1:2">
      <c r="A372" s="24"/>
      <c r="B372" s="25"/>
    </row>
    <row r="373" spans="1:2">
      <c r="A373" s="24"/>
      <c r="B373" s="25"/>
    </row>
    <row r="374" spans="1:2">
      <c r="A374" s="24"/>
      <c r="B374" s="25"/>
    </row>
    <row r="375" spans="1:2">
      <c r="A375" s="24"/>
      <c r="B375" s="25"/>
    </row>
    <row r="376" spans="1:2">
      <c r="A376" s="24"/>
      <c r="B376" s="25"/>
    </row>
    <row r="377" spans="1:2">
      <c r="A377" s="24"/>
      <c r="B377" s="25"/>
    </row>
    <row r="378" spans="1:2">
      <c r="A378" s="24"/>
      <c r="B378" s="25"/>
    </row>
    <row r="379" spans="1:2">
      <c r="A379" s="24"/>
      <c r="B379" s="25"/>
    </row>
    <row r="380" spans="1:2">
      <c r="A380" s="24"/>
      <c r="B380" s="25"/>
    </row>
    <row r="381" spans="1:2">
      <c r="A381" s="24"/>
      <c r="B381" s="25"/>
    </row>
    <row r="382" spans="1:2">
      <c r="A382" s="24"/>
      <c r="B382" s="25"/>
    </row>
    <row r="383" spans="1:2">
      <c r="A383" s="24"/>
      <c r="B383" s="25"/>
    </row>
    <row r="384" spans="1:2">
      <c r="A384" s="24"/>
      <c r="B384" s="25"/>
    </row>
    <row r="385" spans="1:2">
      <c r="A385" s="24"/>
      <c r="B385" s="25"/>
    </row>
    <row r="386" spans="1:2">
      <c r="A386" s="24"/>
      <c r="B386" s="25"/>
    </row>
    <row r="387" spans="1:2">
      <c r="A387" s="24"/>
      <c r="B387" s="25"/>
    </row>
    <row r="388" spans="1:2">
      <c r="A388" s="24"/>
      <c r="B388" s="25"/>
    </row>
    <row r="389" spans="1:2">
      <c r="A389" s="24"/>
      <c r="B389" s="25"/>
    </row>
    <row r="390" spans="1:2">
      <c r="A390" s="24"/>
      <c r="B390" s="25"/>
    </row>
    <row r="391" spans="1:2">
      <c r="A391" s="24"/>
      <c r="B391" s="25"/>
    </row>
    <row r="392" spans="1:2">
      <c r="A392" s="24"/>
      <c r="B392" s="25"/>
    </row>
    <row r="393" spans="1:2">
      <c r="A393" s="24"/>
      <c r="B393" s="25"/>
    </row>
    <row r="394" spans="1:2">
      <c r="A394" s="24"/>
      <c r="B394" s="25"/>
    </row>
    <row r="395" spans="1:2">
      <c r="A395" s="24"/>
      <c r="B395" s="25"/>
    </row>
    <row r="396" spans="1:2">
      <c r="A396" s="24"/>
      <c r="B396" s="25"/>
    </row>
    <row r="397" spans="1:2">
      <c r="A397" s="24"/>
      <c r="B397" s="25"/>
    </row>
    <row r="398" spans="1:2">
      <c r="A398" s="24"/>
      <c r="B398" s="25"/>
    </row>
    <row r="399" spans="1:2">
      <c r="A399" s="24"/>
      <c r="B399" s="25"/>
    </row>
    <row r="400" spans="1:2">
      <c r="A400" s="24"/>
      <c r="B400" s="25"/>
    </row>
    <row r="401" spans="1:2">
      <c r="A401" s="24"/>
      <c r="B401" s="25"/>
    </row>
    <row r="402" spans="1:2">
      <c r="A402" s="24"/>
      <c r="B402" s="25"/>
    </row>
    <row r="403" spans="1:2">
      <c r="A403" s="24"/>
      <c r="B403" s="25"/>
    </row>
    <row r="404" spans="1:2">
      <c r="A404" s="24"/>
      <c r="B404" s="25"/>
    </row>
    <row r="405" spans="1:2">
      <c r="A405" s="24"/>
      <c r="B405" s="25"/>
    </row>
    <row r="406" spans="1:2">
      <c r="A406" s="24"/>
      <c r="B406" s="25"/>
    </row>
    <row r="407" spans="1:2">
      <c r="A407" s="24"/>
      <c r="B407" s="25"/>
    </row>
    <row r="408" spans="1:2">
      <c r="A408" s="24"/>
      <c r="B408" s="25"/>
    </row>
    <row r="409" spans="1:2">
      <c r="A409" s="24"/>
      <c r="B409" s="25"/>
    </row>
    <row r="410" spans="1:2">
      <c r="A410" s="24"/>
      <c r="B410" s="25"/>
    </row>
    <row r="411" spans="1:2">
      <c r="A411" s="24"/>
      <c r="B411" s="25"/>
    </row>
    <row r="412" spans="1:2">
      <c r="A412" s="24"/>
      <c r="B412" s="25"/>
    </row>
    <row r="413" spans="1:2">
      <c r="A413" s="24"/>
      <c r="B413" s="25"/>
    </row>
    <row r="414" spans="1:2">
      <c r="A414" s="24"/>
      <c r="B414" s="25"/>
    </row>
    <row r="415" spans="1:2">
      <c r="A415" s="24"/>
      <c r="B415" s="25"/>
    </row>
    <row r="416" spans="1:2">
      <c r="A416" s="24"/>
      <c r="B416" s="25"/>
    </row>
    <row r="417" spans="1:2">
      <c r="A417" s="24"/>
      <c r="B417" s="25"/>
    </row>
    <row r="418" spans="1:2">
      <c r="A418" s="24"/>
      <c r="B418" s="25"/>
    </row>
    <row r="419" spans="1:2">
      <c r="A419" s="24"/>
      <c r="B419" s="25"/>
    </row>
    <row r="420" spans="1:2">
      <c r="A420" s="24"/>
      <c r="B420" s="25"/>
    </row>
    <row r="421" spans="1:2">
      <c r="A421" s="24"/>
      <c r="B421" s="25"/>
    </row>
    <row r="422" spans="1:2">
      <c r="A422" s="24"/>
      <c r="B422" s="25"/>
    </row>
    <row r="423" spans="1:2">
      <c r="A423" s="24"/>
      <c r="B423" s="25"/>
    </row>
    <row r="424" spans="1:2">
      <c r="A424" s="24"/>
      <c r="B424" s="25"/>
    </row>
    <row r="425" spans="1:2">
      <c r="A425" s="24"/>
      <c r="B425" s="25"/>
    </row>
    <row r="426" spans="1:2">
      <c r="A426" s="24"/>
      <c r="B426" s="25"/>
    </row>
    <row r="427" spans="1:2">
      <c r="A427" s="24"/>
      <c r="B427" s="25"/>
    </row>
    <row r="428" spans="1:2">
      <c r="A428" s="24"/>
      <c r="B428" s="25"/>
    </row>
    <row r="429" spans="1:2">
      <c r="A429" s="24"/>
      <c r="B429" s="25"/>
    </row>
    <row r="430" spans="1:2">
      <c r="A430" s="24"/>
      <c r="B430" s="25"/>
    </row>
    <row r="431" spans="1:2">
      <c r="A431" s="24"/>
      <c r="B431" s="25"/>
    </row>
    <row r="432" spans="1:2">
      <c r="A432" s="24"/>
      <c r="B432" s="25"/>
    </row>
    <row r="433" spans="1:2">
      <c r="A433" s="24"/>
      <c r="B433" s="25"/>
    </row>
    <row r="434" spans="1:2">
      <c r="A434" s="24"/>
      <c r="B434" s="25"/>
    </row>
    <row r="435" spans="1:2">
      <c r="A435" s="24"/>
      <c r="B435" s="25"/>
    </row>
    <row r="436" spans="1:2">
      <c r="A436" s="24"/>
      <c r="B436" s="25"/>
    </row>
    <row r="437" spans="1:2">
      <c r="A437" s="24"/>
      <c r="B437" s="25"/>
    </row>
    <row r="438" spans="1:2">
      <c r="A438" s="24"/>
      <c r="B438" s="25"/>
    </row>
    <row r="439" spans="1:2">
      <c r="A439" s="24"/>
      <c r="B439" s="25"/>
    </row>
    <row r="440" spans="1:2">
      <c r="A440" s="24"/>
      <c r="B440" s="25"/>
    </row>
    <row r="441" spans="1:2">
      <c r="A441" s="24"/>
      <c r="B441" s="25"/>
    </row>
    <row r="442" spans="1:2">
      <c r="A442" s="24"/>
      <c r="B442" s="25"/>
    </row>
    <row r="443" spans="1:2">
      <c r="A443" s="24"/>
      <c r="B443" s="25"/>
    </row>
    <row r="444" spans="1:2">
      <c r="A444" s="24"/>
      <c r="B444" s="25"/>
    </row>
    <row r="445" spans="1:2">
      <c r="A445" s="24"/>
      <c r="B445" s="25"/>
    </row>
    <row r="446" spans="1:2">
      <c r="A446" s="24"/>
      <c r="B446" s="25"/>
    </row>
    <row r="447" spans="1:2">
      <c r="A447" s="24"/>
      <c r="B447" s="25"/>
    </row>
    <row r="448" spans="1:2">
      <c r="A448" s="24"/>
      <c r="B448" s="25"/>
    </row>
    <row r="449" spans="1:2">
      <c r="A449" s="24"/>
      <c r="B449" s="25"/>
    </row>
    <row r="450" spans="1:2">
      <c r="A450" s="24"/>
      <c r="B450" s="25"/>
    </row>
    <row r="451" spans="1:2">
      <c r="A451" s="24"/>
      <c r="B451" s="25"/>
    </row>
    <row r="452" spans="1:2">
      <c r="A452" s="24"/>
      <c r="B452" s="25"/>
    </row>
    <row r="453" spans="1:2">
      <c r="A453" s="24"/>
      <c r="B453" s="25"/>
    </row>
    <row r="454" spans="1:2">
      <c r="A454" s="24"/>
      <c r="B454" s="25"/>
    </row>
    <row r="455" spans="1:2">
      <c r="A455" s="24"/>
      <c r="B455" s="25"/>
    </row>
    <row r="456" spans="1:2">
      <c r="A456" s="24"/>
      <c r="B456" s="25"/>
    </row>
    <row r="457" spans="1:2">
      <c r="A457" s="24"/>
      <c r="B457" s="25"/>
    </row>
    <row r="458" spans="1:2">
      <c r="A458" s="24"/>
      <c r="B458" s="25"/>
    </row>
    <row r="459" spans="1:2">
      <c r="A459" s="24"/>
      <c r="B459" s="25"/>
    </row>
    <row r="460" spans="1:2">
      <c r="A460" s="24"/>
      <c r="B460" s="25"/>
    </row>
    <row r="461" spans="1:2">
      <c r="A461" s="24"/>
      <c r="B461" s="25"/>
    </row>
    <row r="462" spans="1:2">
      <c r="A462" s="24"/>
      <c r="B462" s="25"/>
    </row>
    <row r="463" spans="1:2">
      <c r="A463" s="24"/>
      <c r="B463" s="25"/>
    </row>
    <row r="464" spans="1:2">
      <c r="A464" s="24"/>
      <c r="B464" s="25"/>
    </row>
    <row r="465" spans="1:2">
      <c r="A465" s="24"/>
      <c r="B465" s="25"/>
    </row>
    <row r="466" spans="1:2">
      <c r="A466" s="24"/>
      <c r="B466" s="25"/>
    </row>
    <row r="467" spans="1:2">
      <c r="A467" s="24"/>
      <c r="B467" s="25"/>
    </row>
    <row r="468" spans="1:2">
      <c r="A468" s="24"/>
      <c r="B468" s="25"/>
    </row>
    <row r="469" spans="1:2">
      <c r="A469" s="24"/>
      <c r="B469" s="25"/>
    </row>
    <row r="470" spans="1:2">
      <c r="A470" s="24"/>
      <c r="B470" s="25"/>
    </row>
    <row r="471" spans="1:2">
      <c r="A471" s="24"/>
      <c r="B471" s="25"/>
    </row>
    <row r="472" spans="1:2">
      <c r="A472" s="24"/>
      <c r="B472" s="25"/>
    </row>
    <row r="473" spans="1:2">
      <c r="A473" s="24"/>
      <c r="B473" s="25"/>
    </row>
    <row r="474" spans="1:2">
      <c r="A474" s="24"/>
      <c r="B474" s="25"/>
    </row>
    <row r="475" spans="1:2">
      <c r="A475" s="24"/>
      <c r="B475" s="25"/>
    </row>
    <row r="476" spans="1:2">
      <c r="A476" s="24"/>
      <c r="B476" s="25"/>
    </row>
    <row r="477" spans="1:2">
      <c r="A477" s="24"/>
      <c r="B477" s="25"/>
    </row>
    <row r="478" spans="1:2">
      <c r="A478" s="24"/>
      <c r="B478" s="25"/>
    </row>
    <row r="479" spans="1:2">
      <c r="A479" s="24"/>
      <c r="B479" s="25"/>
    </row>
    <row r="480" spans="1:2">
      <c r="A480" s="24"/>
      <c r="B480" s="25"/>
    </row>
    <row r="481" spans="1:2">
      <c r="A481" s="24"/>
      <c r="B481" s="25"/>
    </row>
    <row r="482" spans="1:2">
      <c r="A482" s="24"/>
      <c r="B482" s="25"/>
    </row>
    <row r="483" spans="1:2">
      <c r="A483" s="24"/>
      <c r="B483" s="25"/>
    </row>
    <row r="484" spans="1:2">
      <c r="A484" s="24"/>
      <c r="B484" s="25"/>
    </row>
    <row r="485" spans="1:2">
      <c r="A485" s="24"/>
      <c r="B485" s="25"/>
    </row>
    <row r="486" spans="1:2">
      <c r="A486" s="24"/>
      <c r="B486" s="25"/>
    </row>
    <row r="487" spans="1:2">
      <c r="A487" s="24"/>
      <c r="B487" s="25"/>
    </row>
    <row r="488" spans="1:2">
      <c r="A488" s="24"/>
      <c r="B488" s="25"/>
    </row>
    <row r="489" spans="1:2">
      <c r="A489" s="24"/>
      <c r="B489" s="25"/>
    </row>
    <row r="490" spans="1:2">
      <c r="A490" s="24"/>
      <c r="B490" s="25"/>
    </row>
    <row r="491" spans="1:2">
      <c r="A491" s="24"/>
      <c r="B491" s="25"/>
    </row>
    <row r="492" spans="1:2">
      <c r="A492" s="24"/>
      <c r="B492" s="25"/>
    </row>
    <row r="493" spans="1:2">
      <c r="A493" s="24"/>
      <c r="B493" s="25"/>
    </row>
    <row r="494" spans="1:2">
      <c r="A494" s="24"/>
      <c r="B494" s="25"/>
    </row>
    <row r="495" spans="1:2">
      <c r="A495" s="24"/>
      <c r="B495" s="25"/>
    </row>
    <row r="496" spans="1:2">
      <c r="A496" s="24"/>
      <c r="B496" s="25"/>
    </row>
    <row r="497" spans="1:2">
      <c r="A497" s="24"/>
      <c r="B497" s="25"/>
    </row>
    <row r="498" spans="1:2">
      <c r="A498" s="24"/>
      <c r="B498" s="25"/>
    </row>
    <row r="499" spans="1:2">
      <c r="A499" s="24"/>
      <c r="B499" s="25"/>
    </row>
    <row r="500" spans="1:2">
      <c r="A500" s="24"/>
      <c r="B500" s="25"/>
    </row>
    <row r="501" spans="1:2">
      <c r="A501" s="24"/>
      <c r="B501" s="25"/>
    </row>
    <row r="502" spans="1:2">
      <c r="A502" s="24"/>
      <c r="B502" s="25"/>
    </row>
    <row r="503" spans="1:2">
      <c r="A503" s="24"/>
      <c r="B503" s="25"/>
    </row>
    <row r="504" spans="1:2">
      <c r="A504" s="24"/>
      <c r="B504" s="25"/>
    </row>
    <row r="505" spans="1:2">
      <c r="A505" s="24"/>
      <c r="B505" s="25"/>
    </row>
    <row r="506" spans="1:2">
      <c r="A506" s="24"/>
      <c r="B506" s="25"/>
    </row>
    <row r="507" spans="1:2">
      <c r="A507" s="24"/>
      <c r="B507" s="25"/>
    </row>
    <row r="508" spans="1:2">
      <c r="A508" s="24"/>
      <c r="B508" s="25"/>
    </row>
    <row r="509" spans="1:2">
      <c r="A509" s="24"/>
      <c r="B509" s="25"/>
    </row>
    <row r="510" spans="1:2">
      <c r="A510" s="24"/>
      <c r="B510" s="25"/>
    </row>
    <row r="511" spans="1:2">
      <c r="A511" s="24"/>
      <c r="B511" s="25"/>
    </row>
    <row r="512" spans="1:2">
      <c r="A512" s="24"/>
      <c r="B512" s="25"/>
    </row>
    <row r="513" spans="1:2">
      <c r="A513" s="24"/>
      <c r="B513" s="25"/>
    </row>
    <row r="514" spans="1:2">
      <c r="A514" s="24"/>
      <c r="B514" s="25"/>
    </row>
    <row r="515" spans="1:2">
      <c r="A515" s="24"/>
      <c r="B515" s="25"/>
    </row>
    <row r="516" spans="1:2">
      <c r="A516" s="24"/>
      <c r="B516" s="25"/>
    </row>
    <row r="517" spans="1:2">
      <c r="A517" s="24"/>
      <c r="B517" s="25"/>
    </row>
    <row r="518" spans="1:2">
      <c r="A518" s="24"/>
      <c r="B518" s="25"/>
    </row>
    <row r="519" spans="1:2">
      <c r="A519" s="24"/>
      <c r="B519" s="25"/>
    </row>
    <row r="520" spans="1:2">
      <c r="A520" s="24"/>
      <c r="B520" s="25"/>
    </row>
    <row r="521" spans="1:2">
      <c r="A521" s="24"/>
      <c r="B521" s="25"/>
    </row>
    <row r="522" spans="1:2">
      <c r="A522" s="24"/>
      <c r="B522" s="25"/>
    </row>
    <row r="523" spans="1:2">
      <c r="A523" s="24"/>
      <c r="B523" s="25"/>
    </row>
    <row r="524" spans="1:2">
      <c r="A524" s="24"/>
      <c r="B524" s="25"/>
    </row>
    <row r="525" spans="1:2">
      <c r="A525" s="24"/>
      <c r="B525" s="25"/>
    </row>
    <row r="526" spans="1:2">
      <c r="A526" s="24"/>
      <c r="B526" s="25"/>
    </row>
    <row r="527" spans="1:2">
      <c r="A527" s="24"/>
      <c r="B527" s="25"/>
    </row>
    <row r="528" spans="1:2">
      <c r="A528" s="24"/>
      <c r="B528" s="25"/>
    </row>
    <row r="529" spans="1:2">
      <c r="A529" s="24"/>
      <c r="B529" s="25"/>
    </row>
    <row r="530" spans="1:2">
      <c r="A530" s="24"/>
      <c r="B530" s="25"/>
    </row>
    <row r="531" spans="1:2">
      <c r="A531" s="24"/>
      <c r="B531" s="25"/>
    </row>
    <row r="532" spans="1:2">
      <c r="A532" s="24"/>
      <c r="B532" s="25"/>
    </row>
    <row r="533" spans="1:2">
      <c r="A533" s="24"/>
      <c r="B533" s="25"/>
    </row>
    <row r="534" spans="1:2">
      <c r="A534" s="24"/>
      <c r="B534" s="25"/>
    </row>
    <row r="535" spans="1:2">
      <c r="A535" s="24"/>
      <c r="B535" s="25"/>
    </row>
    <row r="536" spans="1:2">
      <c r="A536" s="24"/>
      <c r="B536" s="25"/>
    </row>
    <row r="537" spans="1:2">
      <c r="A537" s="24"/>
      <c r="B537" s="25"/>
    </row>
    <row r="538" spans="1:2">
      <c r="A538" s="24"/>
      <c r="B538" s="25"/>
    </row>
    <row r="539" spans="1:2">
      <c r="A539" s="24"/>
      <c r="B539" s="25"/>
    </row>
    <row r="540" spans="1:2">
      <c r="A540" s="24"/>
      <c r="B540" s="25"/>
    </row>
    <row r="541" spans="1:2">
      <c r="A541" s="24"/>
      <c r="B541" s="25"/>
    </row>
    <row r="542" spans="1:2">
      <c r="A542" s="24"/>
      <c r="B542" s="25"/>
    </row>
    <row r="543" spans="1:2">
      <c r="A543" s="24"/>
      <c r="B543" s="25"/>
    </row>
    <row r="544" spans="1:2">
      <c r="A544" s="24"/>
      <c r="B544" s="25"/>
    </row>
    <row r="545" spans="1:2">
      <c r="A545" s="24"/>
      <c r="B545" s="25"/>
    </row>
    <row r="546" spans="1:2">
      <c r="A546" s="24"/>
      <c r="B546" s="25"/>
    </row>
    <row r="547" spans="1:2">
      <c r="A547" s="24"/>
      <c r="B547" s="25"/>
    </row>
    <row r="548" spans="1:2">
      <c r="A548" s="24"/>
      <c r="B548" s="25"/>
    </row>
  </sheetData>
  <sheetProtection sheet="1"/>
  <phoneticPr fontId="1" type="noConversion"/>
  <printOptions horizontalCentered="1" gridLines="1"/>
  <pageMargins left="0.7" right="0.7" top="0.75" bottom="0.75" header="0.3" footer="0.3"/>
  <pageSetup scale="95" orientation="landscape" r:id="rId1"/>
  <headerFooter>
    <oddHeader>&amp;L&amp;"-,Italic"&amp;10Hartnell Measure H
Oversight Committee&amp;C&amp;"-,Bold"&amp;12&amp;UNOTES TO FINANCIAL STATUS OF
MEASURE H FUNDS&amp;RPrinted &amp;D</oddHeader>
    <oddFooter>&amp;LExcel: &amp;F  &amp;A&amp;CPage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Tabulations</vt:lpstr>
      <vt:lpstr>Notes</vt:lpstr>
      <vt:lpstr>Sheet3</vt:lpstr>
      <vt:lpstr>Notes!Print_Area</vt:lpstr>
      <vt:lpstr>Tabulations!Print_Area</vt:lpstr>
      <vt:lpstr>Tabulations!Print_Titles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 Payne</dc:creator>
  <cp:lastModifiedBy>Dawn Henry</cp:lastModifiedBy>
  <cp:lastPrinted>2020-08-07T20:37:42Z</cp:lastPrinted>
  <dcterms:created xsi:type="dcterms:W3CDTF">2011-08-10T23:21:28Z</dcterms:created>
  <dcterms:modified xsi:type="dcterms:W3CDTF">2020-12-14T16:45:33Z</dcterms:modified>
</cp:coreProperties>
</file>